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6c748fc37d2d0b14/Desktop/CURSOS ON LINE/LIBRO DE VENTAS/CURSOS 2025/CURSO DE PROSPECCIÓN/APLICACIÓN DE METAS/"/>
    </mc:Choice>
  </mc:AlternateContent>
  <xr:revisionPtr revIDLastSave="110" documentId="8_{72327909-FA3B-4489-8383-18E89E0AC0B4}" xr6:coauthVersionLast="47" xr6:coauthVersionMax="47" xr10:uidLastSave="{33270C07-4C7C-4BD5-8124-5C85F901AC79}"/>
  <bookViews>
    <workbookView xWindow="-108" yWindow="-108" windowWidth="23256" windowHeight="12456" tabRatio="500" firstSheet="2" activeTab="4" xr2:uid="{00000000-000D-0000-FFFF-FFFF00000000}"/>
  </bookViews>
  <sheets>
    <sheet name="RESUMEN ESTRATEGIA" sheetId="1" r:id="rId1"/>
    <sheet name="CALCULADORA DE CONVERSIÓN" sheetId="6" r:id="rId2"/>
    <sheet name="OBJETIVOS COMERCIALES" sheetId="2" r:id="rId3"/>
    <sheet name="PLAN DE PROSPECCIÓN" sheetId="3" r:id="rId4"/>
    <sheet name="CURVAS" sheetId="4" r:id="rId5"/>
    <sheet name="GRÁFICOS" sheetId="5" r:id="rId6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1" i="6" l="1"/>
  <c r="C10" i="6"/>
  <c r="C9" i="6"/>
  <c r="N18" i="4"/>
  <c r="M18" i="4"/>
  <c r="L18" i="4"/>
  <c r="K18" i="4"/>
  <c r="J18" i="4"/>
  <c r="I18" i="4"/>
  <c r="H18" i="4"/>
  <c r="G18" i="4"/>
  <c r="F18" i="4"/>
  <c r="AC99" i="5" s="1"/>
  <c r="E18" i="4"/>
  <c r="D18" i="4"/>
  <c r="AC104" i="5" s="1"/>
  <c r="C18" i="4"/>
  <c r="B17" i="4"/>
  <c r="O17" i="4" s="1"/>
  <c r="O16" i="4"/>
  <c r="O15" i="4"/>
  <c r="B14" i="4"/>
  <c r="O14" i="4" s="1"/>
  <c r="B13" i="4"/>
  <c r="N9" i="4"/>
  <c r="M9" i="4"/>
  <c r="L9" i="4"/>
  <c r="K9" i="4"/>
  <c r="J9" i="4"/>
  <c r="I9" i="4"/>
  <c r="H9" i="4"/>
  <c r="G9" i="4"/>
  <c r="F9" i="4"/>
  <c r="E9" i="4"/>
  <c r="D9" i="4"/>
  <c r="C9" i="4"/>
  <c r="B8" i="4"/>
  <c r="O8" i="4" s="1"/>
  <c r="O7" i="4"/>
  <c r="O6" i="4"/>
  <c r="B5" i="4"/>
  <c r="O4" i="4"/>
  <c r="E39" i="3"/>
  <c r="E37" i="3"/>
  <c r="E30" i="3"/>
  <c r="E23" i="3"/>
  <c r="E16" i="3"/>
  <c r="E9" i="3"/>
  <c r="F9" i="2"/>
  <c r="D9" i="2"/>
  <c r="M4" i="5" s="1"/>
  <c r="B9" i="2"/>
  <c r="AD87" i="5" s="1"/>
  <c r="H8" i="2"/>
  <c r="E8" i="2"/>
  <c r="G8" i="2" s="1"/>
  <c r="H7" i="2"/>
  <c r="E7" i="2"/>
  <c r="G7" i="2" s="1"/>
  <c r="H6" i="2"/>
  <c r="E6" i="2"/>
  <c r="E46" i="5" s="1"/>
  <c r="G46" i="5" s="1"/>
  <c r="H5" i="2"/>
  <c r="E5" i="2"/>
  <c r="G5" i="2" s="1"/>
  <c r="H4" i="2"/>
  <c r="E4" i="2"/>
  <c r="E44" i="5" s="1"/>
  <c r="G10" i="1"/>
  <c r="H7" i="1" s="1"/>
  <c r="J9" i="1"/>
  <c r="J8" i="1"/>
  <c r="J7" i="1"/>
  <c r="J6" i="1"/>
  <c r="J5" i="1"/>
  <c r="AD125" i="5"/>
  <c r="AD124" i="5"/>
  <c r="AD123" i="5"/>
  <c r="AD122" i="5"/>
  <c r="AC122" i="5"/>
  <c r="AD121" i="5"/>
  <c r="AC121" i="5"/>
  <c r="AD115" i="5"/>
  <c r="AE115" i="5" s="1"/>
  <c r="AC115" i="5"/>
  <c r="AD114" i="5"/>
  <c r="AC114" i="5"/>
  <c r="AD113" i="5"/>
  <c r="AC113" i="5"/>
  <c r="AD112" i="5"/>
  <c r="AC112" i="5"/>
  <c r="AD111" i="5"/>
  <c r="AC111" i="5"/>
  <c r="AC93" i="5"/>
  <c r="AC76" i="5"/>
  <c r="F48" i="5"/>
  <c r="C48" i="5"/>
  <c r="D48" i="5" s="1"/>
  <c r="B48" i="5"/>
  <c r="F47" i="5"/>
  <c r="C47" i="5"/>
  <c r="B47" i="5"/>
  <c r="F46" i="5"/>
  <c r="C46" i="5"/>
  <c r="B46" i="5"/>
  <c r="F45" i="5"/>
  <c r="C45" i="5"/>
  <c r="B45" i="5"/>
  <c r="F44" i="5"/>
  <c r="C44" i="5"/>
  <c r="B44" i="5"/>
  <c r="AC82" i="5" l="1"/>
  <c r="AC87" i="5"/>
  <c r="H9" i="1"/>
  <c r="B18" i="4"/>
  <c r="O18" i="4" s="1"/>
  <c r="U4" i="5" s="1"/>
  <c r="AE113" i="5"/>
  <c r="B9" i="4"/>
  <c r="O9" i="4" s="1"/>
  <c r="Q4" i="5" s="1"/>
  <c r="AC125" i="5"/>
  <c r="AE125" i="5" s="1"/>
  <c r="E48" i="5"/>
  <c r="G48" i="5" s="1"/>
  <c r="AE112" i="5"/>
  <c r="AE122" i="5"/>
  <c r="D45" i="5"/>
  <c r="E45" i="5"/>
  <c r="G45" i="5" s="1"/>
  <c r="AE121" i="5"/>
  <c r="AE111" i="5"/>
  <c r="D44" i="5"/>
  <c r="A4" i="5"/>
  <c r="E47" i="5"/>
  <c r="G47" i="5" s="1"/>
  <c r="AC124" i="5"/>
  <c r="AE124" i="5" s="1"/>
  <c r="B49" i="5"/>
  <c r="AE114" i="5"/>
  <c r="D47" i="5"/>
  <c r="C6" i="2"/>
  <c r="AC63" i="5" s="1"/>
  <c r="D46" i="5"/>
  <c r="AD76" i="5"/>
  <c r="AD82" i="5"/>
  <c r="H8" i="1"/>
  <c r="G44" i="5"/>
  <c r="AC84" i="5"/>
  <c r="AC101" i="5"/>
  <c r="E9" i="2"/>
  <c r="F49" i="5"/>
  <c r="AD85" i="5"/>
  <c r="AC80" i="5"/>
  <c r="AC97" i="5"/>
  <c r="AC103" i="5"/>
  <c r="H6" i="1"/>
  <c r="O13" i="4"/>
  <c r="C49" i="5"/>
  <c r="AC77" i="5"/>
  <c r="AC83" i="5"/>
  <c r="AC94" i="5"/>
  <c r="AC100" i="5"/>
  <c r="AD77" i="5"/>
  <c r="AD83" i="5"/>
  <c r="G6" i="2"/>
  <c r="O5" i="4"/>
  <c r="AC78" i="5"/>
  <c r="AC95" i="5"/>
  <c r="AD78" i="5"/>
  <c r="AD84" i="5"/>
  <c r="C4" i="2"/>
  <c r="C7" i="2"/>
  <c r="AC64" i="5" s="1"/>
  <c r="AC79" i="5"/>
  <c r="AC85" i="5"/>
  <c r="AC96" i="5"/>
  <c r="AC102" i="5"/>
  <c r="H5" i="1"/>
  <c r="AD79" i="5"/>
  <c r="G4" i="2"/>
  <c r="AC86" i="5"/>
  <c r="C5" i="2"/>
  <c r="AC62" i="5" s="1"/>
  <c r="C8" i="2"/>
  <c r="AC65" i="5" s="1"/>
  <c r="AD80" i="5"/>
  <c r="AD86" i="5"/>
  <c r="AC123" i="5"/>
  <c r="AE123" i="5" s="1"/>
  <c r="AC81" i="5"/>
  <c r="AC98" i="5"/>
  <c r="AD81" i="5"/>
  <c r="E49" i="5" l="1"/>
  <c r="G49" i="5"/>
  <c r="D49" i="5"/>
  <c r="G9" i="2"/>
  <c r="I4" i="5" s="1"/>
  <c r="AD104" i="5"/>
  <c r="AD98" i="5"/>
  <c r="AD103" i="5"/>
  <c r="AD97" i="5"/>
  <c r="AD96" i="5"/>
  <c r="AD101" i="5"/>
  <c r="AD95" i="5"/>
  <c r="AD100" i="5"/>
  <c r="AD94" i="5"/>
  <c r="E4" i="5"/>
  <c r="AD99" i="5"/>
  <c r="AD93" i="5"/>
  <c r="AD102" i="5"/>
  <c r="C9" i="2"/>
  <c r="AC61" i="5"/>
</calcChain>
</file>

<file path=xl/sharedStrings.xml><?xml version="1.0" encoding="utf-8"?>
<sst xmlns="http://schemas.openxmlformats.org/spreadsheetml/2006/main" count="199" uniqueCount="103">
  <si>
    <t>RESUMEN DE ESTRATEGIA COMERCIAL</t>
  </si>
  <si>
    <t>META FINANCIERA</t>
  </si>
  <si>
    <t>DISTRIBUCIÓN POR ORIGEN</t>
  </si>
  <si>
    <t>Objetivo de ventas</t>
  </si>
  <si>
    <t>← Ingresa aquí</t>
  </si>
  <si>
    <t>Origen</t>
  </si>
  <si>
    <t>Objetivo</t>
  </si>
  <si>
    <t>Contribución</t>
  </si>
  <si>
    <t>Conversión</t>
  </si>
  <si>
    <t>BDD</t>
  </si>
  <si>
    <t>Ticket promedio</t>
  </si>
  <si>
    <t>In bound (SEO, orgánico, redes)</t>
  </si>
  <si>
    <t>Tasa de Conversión</t>
  </si>
  <si>
    <t>Publicidad tradicional</t>
  </si>
  <si>
    <t>Base de datos requerida</t>
  </si>
  <si>
    <t>Prospección</t>
  </si>
  <si>
    <t>CPL estimado</t>
  </si>
  <si>
    <t>Referidos</t>
  </si>
  <si>
    <t>Inversión total estimada</t>
  </si>
  <si>
    <t>Otros</t>
  </si>
  <si>
    <t>TOTAL</t>
  </si>
  <si>
    <t>📊 El gráfico de contribución por origen se visualiza en la pestaña GRÁFICOS</t>
  </si>
  <si>
    <t>OBJETIVOS COMERCIALES</t>
  </si>
  <si>
    <t>✏ Celda de captura (azul)</t>
  </si>
  <si>
    <t>⚙ Fórmula automática (negro)</t>
  </si>
  <si>
    <t>▶ Semáforo automático</t>
  </si>
  <si>
    <t>Objetivo de Venta</t>
  </si>
  <si>
    <t>Contribución por Meta</t>
  </si>
  <si>
    <t>Conversión Esperada</t>
  </si>
  <si>
    <t>BDD Requerida</t>
  </si>
  <si>
    <t>CPL</t>
  </si>
  <si>
    <t>Inversión por Origen</t>
  </si>
  <si>
    <t>Semáforo</t>
  </si>
  <si>
    <t>PLAN DE PROSPECCIÓN</t>
  </si>
  <si>
    <t>Registra las acciones de prospección por origen. Las celdas azules son de captura.</t>
  </si>
  <si>
    <t>Origen / Tarea</t>
  </si>
  <si>
    <t>Responsable</t>
  </si>
  <si>
    <t>Fecha Inicio</t>
  </si>
  <si>
    <t>Fecha Fin</t>
  </si>
  <si>
    <t>BDD Objetivo</t>
  </si>
  <si>
    <t>Recursos / Notas</t>
  </si>
  <si>
    <t xml:space="preserve">  In bound (SEO, orgánico, redes)</t>
  </si>
  <si>
    <t>Subtotal In bound (SEO, orgánico, redes)</t>
  </si>
  <si>
    <t xml:space="preserve">  Publicidad tradicional</t>
  </si>
  <si>
    <t>Subtotal Publicidad tradicional</t>
  </si>
  <si>
    <t xml:space="preserve">  Prospección</t>
  </si>
  <si>
    <t>Subtotal Prospección</t>
  </si>
  <si>
    <t xml:space="preserve">  Referidos</t>
  </si>
  <si>
    <t>Subtotal Referidos</t>
  </si>
  <si>
    <t xml:space="preserve">  Otros</t>
  </si>
  <si>
    <t>Subtotal Otros</t>
  </si>
  <si>
    <t>TOTAL BDD REQUERIDA</t>
  </si>
  <si>
    <t>CURVAS DE AVANCE SEMANAL — CAPTURA AQUÍ TUS RESULTADOS REALES CADA SEMANA</t>
  </si>
  <si>
    <t>📌 SECCIÓN 1 — VENTAS CERRADAS POR SEMANA: Escribe cuántas ventas cerraste cada semana en cada origen</t>
  </si>
  <si>
    <t>Meta</t>
  </si>
  <si>
    <t>Sem 1</t>
  </si>
  <si>
    <t>Sem 2</t>
  </si>
  <si>
    <t>Sem 3</t>
  </si>
  <si>
    <t>Sem 4</t>
  </si>
  <si>
    <t>Sem 5</t>
  </si>
  <si>
    <t>Sem 6</t>
  </si>
  <si>
    <t>Sem 7</t>
  </si>
  <si>
    <t>Sem 8</t>
  </si>
  <si>
    <t>Sem 9</t>
  </si>
  <si>
    <t>Sem 10</t>
  </si>
  <si>
    <t>Sem 11</t>
  </si>
  <si>
    <t>Sem 12</t>
  </si>
  <si>
    <t>Avance %</t>
  </si>
  <si>
    <t>✅ Real semanal (suma de orígenes)</t>
  </si>
  <si>
    <t>📌 SECCIÓN 2 — BDD (BASE DE DATOS) CAPTADA POR SEMANA: Escribe cuántos registros nuevos captaste cada semana</t>
  </si>
  <si>
    <t>✏ Las celdas azules (Sem 1–Sem 12) son las únicas que debes capturar. Meta y Avance % se calculan solos. Los gráficos en la pestaña GRÁFICOS se actualizan automáticamente.</t>
  </si>
  <si>
    <t>DASHBOARD EJECUTIVO — PLANEACIÓN COMERCIAL</t>
  </si>
  <si>
    <t>Los gráficos y KPIs se actualizan automáticamente con los datos de OBJETIVOS COMERCIALES y CURVAS</t>
  </si>
  <si>
    <t>Meta Total de Ventas</t>
  </si>
  <si>
    <t>BDD Total Requerida</t>
  </si>
  <si>
    <t>Inversión Total</t>
  </si>
  <si>
    <t>Conversión Promedio</t>
  </si>
  <si>
    <t>% Avance Ventas</t>
  </si>
  <si>
    <t>% Avance BDD</t>
  </si>
  <si>
    <t>AVANCE ACTUAL POR ORIGEN</t>
  </si>
  <si>
    <t>Meta Ventas</t>
  </si>
  <si>
    <t>Ventas Captadas</t>
  </si>
  <si>
    <t>% Ventas</t>
  </si>
  <si>
    <t>Meta BDD</t>
  </si>
  <si>
    <t>BDD Captada</t>
  </si>
  <si>
    <t>% BDD</t>
  </si>
  <si>
    <t>In bound</t>
  </si>
  <si>
    <t>Pub. tradicional</t>
  </si>
  <si>
    <t>📋 Captura los avances semanales en la pestaña CURVAS (columnas Sem 1 a Sem 12). Todos los gráficos y la tabla anterior se actualizan automáticamente.</t>
  </si>
  <si>
    <t>Semana</t>
  </si>
  <si>
    <t>Ventas Reales</t>
  </si>
  <si>
    <t>Meta Semanal</t>
  </si>
  <si>
    <t>Avance</t>
  </si>
  <si>
    <t>% Avance</t>
  </si>
  <si>
    <t>CALCULADORA DE CONVERSIÓN</t>
  </si>
  <si>
    <t>PARÁMETROS DE ENTRADA</t>
  </si>
  <si>
    <t>Meta de ventas del período</t>
  </si>
  <si>
    <t>Tasa de conversión esperada (%)</t>
  </si>
  <si>
    <t>CPL promedio</t>
  </si>
  <si>
    <t>RESULTADOS AUTOMÁTICOS</t>
  </si>
  <si>
    <t>Costo por venta</t>
  </si>
  <si>
    <t>Sesión de GMM en hospital SJ</t>
  </si>
  <si>
    <t xml:space="preserve">SANDRA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</si>
</sst>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\$#,##0;[Red]&quot;-$&quot;#,##0"/>
    <numFmt numFmtId="166" formatCode="\$#,##0"/>
    <numFmt numFmtId="167" formatCode="m/d/yyyy"/>
  </numFmts>
  <fonts count="27">
    <font>
      <sz val="11"/>
      <color theme="1"/>
      <name val="Calibri"/>
      <family val="2"/>
      <charset val="1"/>
    </font>
    <font>
      <b/>
      <sz val="16"/>
      <color rgb="FFFFFFFF"/>
      <name val="Arial"/>
      <charset val="1"/>
    </font>
    <font>
      <b/>
      <sz val="12"/>
      <color rgb="FFFFFFFF"/>
      <name val="Arial"/>
      <charset val="1"/>
    </font>
    <font>
      <sz val="10"/>
      <color rgb="FF0D1B3E"/>
      <name val="Arial"/>
      <charset val="1"/>
    </font>
    <font>
      <b/>
      <sz val="11"/>
      <color rgb="FF1A3A6B"/>
      <name val="Arial"/>
      <charset val="1"/>
    </font>
    <font>
      <i/>
      <sz val="9"/>
      <color rgb="FF8899BB"/>
      <name val="Arial"/>
      <charset val="1"/>
    </font>
    <font>
      <b/>
      <sz val="10"/>
      <color rgb="FFFFFFFF"/>
      <name val="Arial"/>
      <charset val="1"/>
    </font>
    <font>
      <b/>
      <sz val="8"/>
      <color rgb="FF0A0A0A"/>
      <name val="Arial Unicode MS"/>
      <charset val="1"/>
    </font>
    <font>
      <b/>
      <sz val="10"/>
      <color rgb="FF0D1B3E"/>
      <name val="Arial"/>
      <charset val="1"/>
    </font>
    <font>
      <i/>
      <sz val="9"/>
      <color rgb="FF1A3A6B"/>
      <name val="Arial"/>
      <charset val="1"/>
    </font>
    <font>
      <sz val="8"/>
      <color rgb="FF0D1B3E"/>
      <name val="Arial"/>
      <charset val="1"/>
    </font>
    <font>
      <b/>
      <sz val="10"/>
      <color rgb="FF1E40AF"/>
      <name val="Arial"/>
      <charset val="1"/>
    </font>
    <font>
      <sz val="10"/>
      <name val="Arial"/>
      <charset val="1"/>
    </font>
    <font>
      <b/>
      <sz val="11"/>
      <color rgb="FF0D1B3E"/>
      <name val="Arial"/>
      <charset val="1"/>
    </font>
    <font>
      <sz val="10"/>
      <color rgb="FF1E40AF"/>
      <name val="Arial"/>
      <charset val="1"/>
    </font>
    <font>
      <b/>
      <sz val="9"/>
      <color rgb="FF0D1B3E"/>
      <name val="Arial"/>
      <charset val="1"/>
    </font>
    <font>
      <b/>
      <sz val="11"/>
      <color rgb="FFFFFFFF"/>
      <name val="Arial"/>
      <charset val="1"/>
    </font>
    <font>
      <b/>
      <sz val="12"/>
      <color rgb="FF0D1B3E"/>
      <name val="Arial"/>
      <charset val="1"/>
    </font>
    <font>
      <b/>
      <sz val="13"/>
      <color rgb="FFFFFFFF"/>
      <name val="Arial"/>
      <charset val="1"/>
    </font>
    <font>
      <b/>
      <sz val="9"/>
      <color rgb="FFFFFFFF"/>
      <name val="Arial"/>
      <charset val="1"/>
    </font>
    <font>
      <b/>
      <sz val="9"/>
      <color rgb="FF1E40AF"/>
      <name val="Arial"/>
      <charset val="1"/>
    </font>
    <font>
      <sz val="9"/>
      <color rgb="FF0D1B3E"/>
      <name val="Arial"/>
      <charset val="1"/>
    </font>
    <font>
      <b/>
      <sz val="10"/>
      <name val="Arial"/>
      <charset val="1"/>
    </font>
    <font>
      <b/>
      <sz val="14"/>
      <color rgb="FFFFFFFF"/>
      <name val="Arial"/>
      <charset val="1"/>
    </font>
    <font>
      <b/>
      <sz val="18"/>
      <color rgb="FF0D1B3E"/>
      <name val="Arial"/>
      <charset val="1"/>
    </font>
    <font>
      <b/>
      <sz val="9"/>
      <name val="Arial"/>
      <charset val="1"/>
    </font>
    <font>
      <b/>
      <sz val="11"/>
      <color rgb="FF1E40AF"/>
      <name val="Arial"/>
      <charset val="1"/>
    </font>
  </fonts>
  <fills count="10">
    <fill>
      <patternFill patternType="none"/>
    </fill>
    <fill>
      <patternFill patternType="gray125"/>
    </fill>
    <fill>
      <patternFill patternType="solid">
        <fgColor rgb="FF0D1B3E"/>
        <bgColor rgb="FF0A0A0A"/>
      </patternFill>
    </fill>
    <fill>
      <patternFill patternType="solid">
        <fgColor rgb="FFD6E0F0"/>
        <bgColor rgb="FFDBEAFE"/>
      </patternFill>
    </fill>
    <fill>
      <patternFill patternType="solid">
        <fgColor rgb="FFFFFFFF"/>
        <bgColor rgb="FFEEF2F8"/>
      </patternFill>
    </fill>
    <fill>
      <patternFill patternType="solid">
        <fgColor rgb="FF1A3A6B"/>
        <bgColor rgb="FF1E40AF"/>
      </patternFill>
    </fill>
    <fill>
      <patternFill patternType="solid">
        <fgColor rgb="FFEEF2F8"/>
        <bgColor rgb="FFDBEAFE"/>
      </patternFill>
    </fill>
    <fill>
      <patternFill patternType="solid">
        <fgColor rgb="FFF2D89A"/>
        <bgColor rgb="FFD9D9D9"/>
      </patternFill>
    </fill>
    <fill>
      <patternFill patternType="solid">
        <fgColor rgb="FFDBEAFE"/>
        <bgColor rgb="FFD6E0F0"/>
      </patternFill>
    </fill>
    <fill>
      <patternFill patternType="solid">
        <fgColor rgb="FFD4EDDA"/>
        <bgColor rgb="FFD6E0F0"/>
      </patternFill>
    </fill>
  </fills>
  <borders count="12">
    <border>
      <left/>
      <right/>
      <top/>
      <bottom/>
      <diagonal/>
    </border>
    <border>
      <left style="medium">
        <color rgb="FF0D1B3E"/>
      </left>
      <right/>
      <top style="medium">
        <color rgb="FF0D1B3E"/>
      </top>
      <bottom style="medium">
        <color rgb="FF0D1B3E"/>
      </bottom>
      <diagonal/>
    </border>
    <border>
      <left style="thin">
        <color rgb="FFC0C8D8"/>
      </left>
      <right/>
      <top style="thin">
        <color rgb="FFC0C8D8"/>
      </top>
      <bottom style="thin">
        <color rgb="FFC0C8D8"/>
      </bottom>
      <diagonal/>
    </border>
    <border>
      <left style="medium">
        <color rgb="FFC8973A"/>
      </left>
      <right style="medium">
        <color rgb="FFC8973A"/>
      </right>
      <top style="medium">
        <color rgb="FFC8973A"/>
      </top>
      <bottom style="medium">
        <color rgb="FFC8973A"/>
      </bottom>
      <diagonal/>
    </border>
    <border>
      <left style="thin">
        <color rgb="FF8899BB"/>
      </left>
      <right style="thin">
        <color rgb="FF8899BB"/>
      </right>
      <top style="thin">
        <color rgb="FF8899BB"/>
      </top>
      <bottom style="thin">
        <color rgb="FF8899BB"/>
      </bottom>
      <diagonal/>
    </border>
    <border>
      <left style="thin">
        <color rgb="FFC0C8D8"/>
      </left>
      <right style="thin">
        <color rgb="FFC0C8D8"/>
      </right>
      <top style="thin">
        <color rgb="FFC0C8D8"/>
      </top>
      <bottom style="thin">
        <color rgb="FFC0C8D8"/>
      </bottom>
      <diagonal/>
    </border>
    <border>
      <left style="thin">
        <color rgb="FFC0C8D8"/>
      </left>
      <right style="thin">
        <color rgb="FFC0C8D8"/>
      </right>
      <top style="thin">
        <color rgb="FFC0C8D8"/>
      </top>
      <bottom style="medium">
        <color rgb="FFC8973A"/>
      </bottom>
      <diagonal/>
    </border>
    <border>
      <left style="thin">
        <color rgb="FF1A3A6B"/>
      </left>
      <right/>
      <top style="thin">
        <color rgb="FF1A3A6B"/>
      </top>
      <bottom style="thin">
        <color rgb="FF1A3A6B"/>
      </bottom>
      <diagonal/>
    </border>
    <border>
      <left style="medium">
        <color rgb="FF0D1B3E"/>
      </left>
      <right style="medium">
        <color rgb="FF0D1B3E"/>
      </right>
      <top style="medium">
        <color rgb="FF0D1B3E"/>
      </top>
      <bottom style="medium">
        <color rgb="FF0D1B3E"/>
      </bottom>
      <diagonal/>
    </border>
    <border>
      <left style="medium">
        <color rgb="FF93C5FD"/>
      </left>
      <right style="medium">
        <color rgb="FF93C5FD"/>
      </right>
      <top style="medium">
        <color rgb="FF93C5FD"/>
      </top>
      <bottom style="medium">
        <color rgb="FF93C5FD"/>
      </bottom>
      <diagonal/>
    </border>
    <border>
      <left style="thin">
        <color rgb="FF93C5FD"/>
      </left>
      <right style="thin">
        <color rgb="FF93C5FD"/>
      </right>
      <top style="thin">
        <color rgb="FF93C5FD"/>
      </top>
      <bottom style="thin">
        <color rgb="FF93C5FD"/>
      </bottom>
      <diagonal/>
    </border>
    <border>
      <left style="medium">
        <color rgb="FFC8973A"/>
      </left>
      <right/>
      <top style="medium">
        <color rgb="FFC8973A"/>
      </top>
      <bottom style="medium">
        <color rgb="FFC8973A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5" fillId="0" borderId="0" xfId="0" applyFont="1" applyAlignment="1">
      <alignment horizontal="left" vertical="center"/>
    </xf>
    <xf numFmtId="0" fontId="6" fillId="5" borderId="4" xfId="0" applyFont="1" applyFill="1" applyBorder="1" applyAlignment="1">
      <alignment horizontal="center" vertical="center" wrapText="1"/>
    </xf>
    <xf numFmtId="0" fontId="3" fillId="6" borderId="5" xfId="0" applyFont="1" applyFill="1" applyBorder="1"/>
    <xf numFmtId="0" fontId="0" fillId="6" borderId="5" xfId="0" applyFill="1" applyBorder="1" applyAlignment="1">
      <alignment horizontal="center" vertical="center"/>
    </xf>
    <xf numFmtId="164" fontId="0" fillId="6" borderId="5" xfId="0" applyNumberFormat="1" applyFill="1" applyBorder="1" applyAlignment="1">
      <alignment horizontal="center"/>
    </xf>
    <xf numFmtId="9" fontId="0" fillId="6" borderId="5" xfId="0" applyNumberFormat="1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7" fillId="0" borderId="0" xfId="0" applyFont="1"/>
    <xf numFmtId="0" fontId="3" fillId="3" borderId="5" xfId="0" applyFont="1" applyFill="1" applyBorder="1"/>
    <xf numFmtId="0" fontId="0" fillId="3" borderId="5" xfId="0" applyFill="1" applyBorder="1" applyAlignment="1">
      <alignment horizontal="center" vertical="center"/>
    </xf>
    <xf numFmtId="164" fontId="0" fillId="3" borderId="5" xfId="0" applyNumberFormat="1" applyFill="1" applyBorder="1" applyAlignment="1">
      <alignment horizontal="center"/>
    </xf>
    <xf numFmtId="9" fontId="0" fillId="3" borderId="5" xfId="0" applyNumberFormat="1" applyFill="1" applyBorder="1" applyAlignment="1">
      <alignment horizontal="center"/>
    </xf>
    <xf numFmtId="0" fontId="8" fillId="7" borderId="6" xfId="0" applyFont="1" applyFill="1" applyBorder="1"/>
    <xf numFmtId="0" fontId="8" fillId="7" borderId="6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left" vertical="center"/>
    </xf>
    <xf numFmtId="3" fontId="11" fillId="8" borderId="3" xfId="0" applyNumberFormat="1" applyFont="1" applyFill="1" applyBorder="1" applyAlignment="1">
      <alignment horizontal="center" vertical="center"/>
    </xf>
    <xf numFmtId="164" fontId="3" fillId="6" borderId="5" xfId="0" applyNumberFormat="1" applyFont="1" applyFill="1" applyBorder="1" applyAlignment="1">
      <alignment horizontal="center" vertical="center"/>
    </xf>
    <xf numFmtId="10" fontId="11" fillId="8" borderId="3" xfId="0" applyNumberFormat="1" applyFont="1" applyFill="1" applyBorder="1" applyAlignment="1">
      <alignment horizontal="center" vertical="center"/>
    </xf>
    <xf numFmtId="3" fontId="3" fillId="6" borderId="5" xfId="0" applyNumberFormat="1" applyFont="1" applyFill="1" applyBorder="1" applyAlignment="1">
      <alignment horizontal="center" vertical="center"/>
    </xf>
    <xf numFmtId="166" fontId="11" fillId="8" borderId="3" xfId="0" applyNumberFormat="1" applyFont="1" applyFill="1" applyBorder="1" applyAlignment="1">
      <alignment horizontal="center" vertical="center"/>
    </xf>
    <xf numFmtId="166" fontId="3" fillId="6" borderId="5" xfId="0" applyNumberFormat="1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164" fontId="3" fillId="3" borderId="5" xfId="0" applyNumberFormat="1" applyFont="1" applyFill="1" applyBorder="1" applyAlignment="1">
      <alignment horizontal="center" vertical="center"/>
    </xf>
    <xf numFmtId="3" fontId="3" fillId="3" borderId="5" xfId="0" applyNumberFormat="1" applyFont="1" applyFill="1" applyBorder="1" applyAlignment="1">
      <alignment horizontal="center" vertical="center"/>
    </xf>
    <xf numFmtId="166" fontId="3" fillId="3" borderId="5" xfId="0" applyNumberFormat="1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3" fontId="13" fillId="7" borderId="6" xfId="0" applyNumberFormat="1" applyFont="1" applyFill="1" applyBorder="1" applyAlignment="1">
      <alignment horizontal="center" vertical="center"/>
    </xf>
    <xf numFmtId="164" fontId="13" fillId="7" borderId="6" xfId="0" applyNumberFormat="1" applyFont="1" applyFill="1" applyBorder="1" applyAlignment="1">
      <alignment horizontal="center" vertical="center"/>
    </xf>
    <xf numFmtId="10" fontId="13" fillId="7" borderId="6" xfId="0" applyNumberFormat="1" applyFont="1" applyFill="1" applyBorder="1" applyAlignment="1">
      <alignment horizontal="center" vertical="center"/>
    </xf>
    <xf numFmtId="166" fontId="13" fillId="7" borderId="6" xfId="0" applyNumberFormat="1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left" vertical="center"/>
    </xf>
    <xf numFmtId="3" fontId="3" fillId="6" borderId="5" xfId="0" applyNumberFormat="1" applyFont="1" applyFill="1" applyBorder="1" applyAlignment="1">
      <alignment horizontal="left" vertical="center"/>
    </xf>
    <xf numFmtId="3" fontId="3" fillId="3" borderId="5" xfId="0" applyNumberFormat="1" applyFont="1" applyFill="1" applyBorder="1" applyAlignment="1">
      <alignment horizontal="left" vertical="center"/>
    </xf>
    <xf numFmtId="0" fontId="15" fillId="7" borderId="3" xfId="0" applyFont="1" applyFill="1" applyBorder="1"/>
    <xf numFmtId="0" fontId="0" fillId="7" borderId="3" xfId="0" applyFill="1" applyBorder="1"/>
    <xf numFmtId="3" fontId="8" fillId="7" borderId="3" xfId="0" applyNumberFormat="1" applyFont="1" applyFill="1" applyBorder="1" applyAlignment="1">
      <alignment horizontal="center" vertical="center"/>
    </xf>
    <xf numFmtId="167" fontId="14" fillId="8" borderId="5" xfId="0" applyNumberFormat="1" applyFont="1" applyFill="1" applyBorder="1" applyAlignment="1">
      <alignment horizontal="left" vertical="center"/>
    </xf>
    <xf numFmtId="3" fontId="17" fillId="7" borderId="3" xfId="0" applyNumberFormat="1" applyFont="1" applyFill="1" applyBorder="1" applyAlignment="1">
      <alignment horizontal="center" vertical="center"/>
    </xf>
    <xf numFmtId="0" fontId="0" fillId="2" borderId="8" xfId="0" applyFill="1" applyBorder="1"/>
    <xf numFmtId="0" fontId="19" fillId="5" borderId="5" xfId="0" applyFont="1" applyFill="1" applyBorder="1" applyAlignment="1">
      <alignment horizontal="center" vertical="center"/>
    </xf>
    <xf numFmtId="3" fontId="19" fillId="5" borderId="5" xfId="0" applyNumberFormat="1" applyFont="1" applyFill="1" applyBorder="1" applyAlignment="1">
      <alignment horizontal="center" vertical="center"/>
    </xf>
    <xf numFmtId="0" fontId="20" fillId="8" borderId="9" xfId="0" applyFont="1" applyFill="1" applyBorder="1" applyAlignment="1">
      <alignment horizontal="center" vertical="center"/>
    </xf>
    <xf numFmtId="0" fontId="21" fillId="6" borderId="5" xfId="0" applyFont="1" applyFill="1" applyBorder="1" applyAlignment="1">
      <alignment horizontal="left" vertical="center"/>
    </xf>
    <xf numFmtId="3" fontId="5" fillId="6" borderId="5" xfId="0" applyNumberFormat="1" applyFont="1" applyFill="1" applyBorder="1" applyAlignment="1">
      <alignment horizontal="center" vertical="center"/>
    </xf>
    <xf numFmtId="3" fontId="11" fillId="8" borderId="10" xfId="0" applyNumberFormat="1" applyFont="1" applyFill="1" applyBorder="1" applyAlignment="1">
      <alignment horizontal="center" vertical="center"/>
    </xf>
    <xf numFmtId="164" fontId="22" fillId="6" borderId="5" xfId="0" applyNumberFormat="1" applyFont="1" applyFill="1" applyBorder="1" applyAlignment="1">
      <alignment horizontal="center" vertical="center"/>
    </xf>
    <xf numFmtId="0" fontId="21" fillId="3" borderId="5" xfId="0" applyFont="1" applyFill="1" applyBorder="1" applyAlignment="1">
      <alignment horizontal="left" vertical="center"/>
    </xf>
    <xf numFmtId="3" fontId="5" fillId="3" borderId="5" xfId="0" applyNumberFormat="1" applyFont="1" applyFill="1" applyBorder="1" applyAlignment="1">
      <alignment horizontal="center" vertical="center"/>
    </xf>
    <xf numFmtId="164" fontId="22" fillId="3" borderId="5" xfId="0" applyNumberFormat="1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left" vertical="center"/>
    </xf>
    <xf numFmtId="3" fontId="8" fillId="7" borderId="6" xfId="0" applyNumberFormat="1" applyFont="1" applyFill="1" applyBorder="1" applyAlignment="1">
      <alignment horizontal="center" vertical="center"/>
    </xf>
    <xf numFmtId="164" fontId="8" fillId="7" borderId="6" xfId="0" applyNumberFormat="1" applyFont="1" applyFill="1" applyBorder="1" applyAlignment="1">
      <alignment horizontal="center" vertical="center"/>
    </xf>
    <xf numFmtId="0" fontId="19" fillId="5" borderId="5" xfId="0" applyFont="1" applyFill="1" applyBorder="1" applyAlignment="1">
      <alignment horizontal="center" vertical="center" wrapText="1"/>
    </xf>
    <xf numFmtId="164" fontId="8" fillId="7" borderId="3" xfId="0" applyNumberFormat="1" applyFont="1" applyFill="1" applyBorder="1" applyAlignment="1">
      <alignment horizontal="center" vertical="center"/>
    </xf>
    <xf numFmtId="0" fontId="25" fillId="0" borderId="0" xfId="0" applyFont="1"/>
    <xf numFmtId="164" fontId="0" fillId="0" borderId="0" xfId="0" applyNumberFormat="1"/>
    <xf numFmtId="3" fontId="0" fillId="0" borderId="0" xfId="0" applyNumberFormat="1"/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left" vertical="center"/>
    </xf>
    <xf numFmtId="9" fontId="4" fillId="4" borderId="3" xfId="0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165" fontId="4" fillId="4" borderId="3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0" fillId="9" borderId="0" xfId="0" applyFont="1" applyFill="1" applyAlignment="1">
      <alignment horizontal="center" vertical="center"/>
    </xf>
    <xf numFmtId="0" fontId="6" fillId="5" borderId="7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3" fillId="2" borderId="1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164" fontId="24" fillId="7" borderId="11" xfId="0" applyNumberFormat="1" applyFont="1" applyFill="1" applyBorder="1" applyAlignment="1">
      <alignment horizontal="center" vertical="center"/>
    </xf>
    <xf numFmtId="3" fontId="24" fillId="7" borderId="11" xfId="0" applyNumberFormat="1" applyFont="1" applyFill="1" applyBorder="1" applyAlignment="1">
      <alignment horizontal="center" vertical="center"/>
    </xf>
    <xf numFmtId="166" fontId="24" fillId="7" borderId="11" xfId="0" applyNumberFormat="1" applyFont="1" applyFill="1" applyBorder="1" applyAlignment="1">
      <alignment horizontal="center" vertical="center"/>
    </xf>
    <xf numFmtId="10" fontId="24" fillId="7" borderId="11" xfId="0" applyNumberFormat="1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left" vertical="center"/>
    </xf>
    <xf numFmtId="3" fontId="26" fillId="8" borderId="3" xfId="0" applyNumberFormat="1" applyFont="1" applyFill="1" applyBorder="1" applyAlignment="1">
      <alignment horizontal="center" vertical="center"/>
    </xf>
    <xf numFmtId="10" fontId="26" fillId="8" borderId="3" xfId="0" applyNumberFormat="1" applyFont="1" applyFill="1" applyBorder="1" applyAlignment="1">
      <alignment horizontal="center" vertical="center"/>
    </xf>
    <xf numFmtId="166" fontId="13" fillId="7" borderId="3" xfId="0" applyNumberFormat="1" applyFont="1" applyFill="1" applyBorder="1" applyAlignment="1">
      <alignment horizontal="center" vertical="center"/>
    </xf>
    <xf numFmtId="166" fontId="26" fillId="8" borderId="3" xfId="0" applyNumberFormat="1" applyFont="1" applyFill="1" applyBorder="1" applyAlignment="1">
      <alignment horizontal="center" vertical="center"/>
    </xf>
    <xf numFmtId="3" fontId="13" fillId="7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B0000"/>
      <rgbColor rgb="FF008000"/>
      <rgbColor rgb="FF000080"/>
      <rgbColor rgb="FF808000"/>
      <rgbColor rgb="FF800080"/>
      <rgbColor rgb="FF008080"/>
      <rgbColor rgb="FFC0C8D8"/>
      <rgbColor rgb="FF4F81BD"/>
      <rgbColor rgb="FF9999FF"/>
      <rgbColor rgb="FF993366"/>
      <rgbColor rgb="FFEEF2F8"/>
      <rgbColor rgb="FFDBEAFE"/>
      <rgbColor rgb="FF660066"/>
      <rgbColor rgb="FFFF8080"/>
      <rgbColor rgb="FF0066CC"/>
      <rgbColor rgb="FFD6E0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9D9D9"/>
      <rgbColor rgb="FFD4EDDA"/>
      <rgbColor rgb="FFFFFF99"/>
      <rgbColor rgb="FF93C5FD"/>
      <rgbColor rgb="FFFF99CC"/>
      <rgbColor rgb="FFB3B3B3"/>
      <rgbColor rgb="FFF2D89A"/>
      <rgbColor rgb="FF3366FF"/>
      <rgbColor rgb="FF33CCCC"/>
      <rgbColor rgb="FF99CC00"/>
      <rgbColor rgb="FFFFCC00"/>
      <rgbColor rgb="FFC8973A"/>
      <rgbColor rgb="FFFF6600"/>
      <rgbColor rgb="FF4A4A8A"/>
      <rgbColor rgb="FF8899BB"/>
      <rgbColor rgb="FF1A3A6B"/>
      <rgbColor rgb="FF2E7D52"/>
      <rgbColor rgb="FF0A0A0A"/>
      <rgbColor rgb="FF333300"/>
      <rgbColor rgb="FF8B1A1A"/>
      <rgbColor rgb="FF993366"/>
      <rgbColor rgb="FF1E40AF"/>
      <rgbColor rgb="FF0D1B3E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s-MX" sz="1800" b="1" strike="noStrike" spc="-1">
                <a:solidFill>
                  <a:srgbClr val="000000"/>
                </a:solidFill>
                <a:latin typeface="Calibri"/>
              </a:rPr>
              <a:t>Contribución por Origen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GRÁFICOS!$AC$60</c:f>
              <c:strCache>
                <c:ptCount val="1"/>
                <c:pt idx="0">
                  <c:v>Contribución</c:v>
                </c:pt>
              </c:strCache>
            </c:strRef>
          </c:tx>
          <c:spPr>
            <a:solidFill>
              <a:srgbClr val="4F81BD"/>
            </a:solidFill>
            <a:ln w="0">
              <a:solidFill>
                <a:srgbClr val="000000"/>
              </a:solidFill>
            </a:ln>
          </c:spPr>
          <c:dPt>
            <c:idx val="0"/>
            <c:bubble3D val="0"/>
            <c:spPr>
              <a:solidFill>
                <a:srgbClr val="0D1B3E"/>
              </a:solidFill>
              <a:ln w="0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677A-4319-9113-9C4F993FA554}"/>
              </c:ext>
            </c:extLst>
          </c:dPt>
          <c:dPt>
            <c:idx val="1"/>
            <c:bubble3D val="0"/>
            <c:spPr>
              <a:solidFill>
                <a:srgbClr val="1A3A6B"/>
              </a:solidFill>
              <a:ln w="0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3-677A-4319-9113-9C4F993FA554}"/>
              </c:ext>
            </c:extLst>
          </c:dPt>
          <c:dPt>
            <c:idx val="2"/>
            <c:bubble3D val="0"/>
            <c:spPr>
              <a:solidFill>
                <a:srgbClr val="C8973A"/>
              </a:solidFill>
              <a:ln w="0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5-677A-4319-9113-9C4F993FA554}"/>
              </c:ext>
            </c:extLst>
          </c:dPt>
          <c:dPt>
            <c:idx val="3"/>
            <c:bubble3D val="0"/>
            <c:spPr>
              <a:solidFill>
                <a:srgbClr val="2E7D52"/>
              </a:solidFill>
              <a:ln w="0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7-677A-4319-9113-9C4F993FA554}"/>
              </c:ext>
            </c:extLst>
          </c:dPt>
          <c:dPt>
            <c:idx val="4"/>
            <c:bubble3D val="0"/>
            <c:spPr>
              <a:solidFill>
                <a:srgbClr val="8B1A1A"/>
              </a:solidFill>
              <a:ln w="0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9-677A-4319-9113-9C4F993FA554}"/>
              </c:ext>
            </c:extLst>
          </c:dPt>
          <c:dLbls>
            <c:dLbl>
              <c:idx val="0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Arial"/>
                    </a:defRPr>
                  </a:pPr>
                  <a:endParaRPr lang="es-MX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77A-4319-9113-9C4F993FA554}"/>
                </c:ext>
              </c:extLst>
            </c:dLbl>
            <c:dLbl>
              <c:idx val="1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Arial"/>
                    </a:defRPr>
                  </a:pPr>
                  <a:endParaRPr lang="es-MX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77A-4319-9113-9C4F993FA554}"/>
                </c:ext>
              </c:extLst>
            </c:dLbl>
            <c:dLbl>
              <c:idx val="2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Arial"/>
                    </a:defRPr>
                  </a:pPr>
                  <a:endParaRPr lang="es-MX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77A-4319-9113-9C4F993FA554}"/>
                </c:ext>
              </c:extLst>
            </c:dLbl>
            <c:dLbl>
              <c:idx val="3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Arial"/>
                    </a:defRPr>
                  </a:pPr>
                  <a:endParaRPr lang="es-MX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77A-4319-9113-9C4F993FA554}"/>
                </c:ext>
              </c:extLst>
            </c:dLbl>
            <c:dLbl>
              <c:idx val="4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Arial"/>
                    </a:defRPr>
                  </a:pPr>
                  <a:endParaRPr lang="es-MX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77A-4319-9113-9C4F993FA5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s-MX"/>
              </a:p>
            </c:txPr>
            <c:dLblPos val="bestFit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GRÁFICOS!$AB$61:$AB$65</c:f>
              <c:strCache>
                <c:ptCount val="5"/>
                <c:pt idx="0">
                  <c:v>In bound</c:v>
                </c:pt>
                <c:pt idx="1">
                  <c:v>Pub. tradicional</c:v>
                </c:pt>
                <c:pt idx="2">
                  <c:v>Prospección</c:v>
                </c:pt>
                <c:pt idx="3">
                  <c:v>Referidos</c:v>
                </c:pt>
                <c:pt idx="4">
                  <c:v>Otros</c:v>
                </c:pt>
              </c:strCache>
            </c:strRef>
          </c:cat>
          <c:val>
            <c:numRef>
              <c:f>GRÁFICOS!$AC$61:$AC$65</c:f>
              <c:numCache>
                <c:formatCode>0.0%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0.375</c:v>
                </c:pt>
                <c:pt idx="3">
                  <c:v>0.625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77A-4319-9113-9C4F993FA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s-MX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s-MX" sz="1800" b="1" strike="noStrike" spc="-1">
                <a:solidFill>
                  <a:srgbClr val="000000"/>
                </a:solidFill>
                <a:latin typeface="Calibri"/>
              </a:rPr>
              <a:t>Avance Acumulado de Ventas vs Meta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GRÁFICOS!$AC$75</c:f>
              <c:strCache>
                <c:ptCount val="1"/>
                <c:pt idx="0">
                  <c:v>Ventas Reales</c:v>
                </c:pt>
              </c:strCache>
            </c:strRef>
          </c:tx>
          <c:spPr>
            <a:ln w="24840">
              <a:solidFill>
                <a:srgbClr val="1A3A6B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s-MX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GRÁFICOS!$AB$76:$AB$87</c:f>
              <c:strCache>
                <c:ptCount val="12"/>
                <c:pt idx="0">
                  <c:v>Sem 1</c:v>
                </c:pt>
                <c:pt idx="1">
                  <c:v>Sem 2</c:v>
                </c:pt>
                <c:pt idx="2">
                  <c:v>Sem 3</c:v>
                </c:pt>
                <c:pt idx="3">
                  <c:v>Sem 4</c:v>
                </c:pt>
                <c:pt idx="4">
                  <c:v>Sem 5</c:v>
                </c:pt>
                <c:pt idx="5">
                  <c:v>Sem 6</c:v>
                </c:pt>
                <c:pt idx="6">
                  <c:v>Sem 7</c:v>
                </c:pt>
                <c:pt idx="7">
                  <c:v>Sem 8</c:v>
                </c:pt>
                <c:pt idx="8">
                  <c:v>Sem 9</c:v>
                </c:pt>
                <c:pt idx="9">
                  <c:v>Sem 10</c:v>
                </c:pt>
                <c:pt idx="10">
                  <c:v>Sem 11</c:v>
                </c:pt>
                <c:pt idx="11">
                  <c:v>Sem 12</c:v>
                </c:pt>
              </c:strCache>
            </c:strRef>
          </c:cat>
          <c:val>
            <c:numRef>
              <c:f>GRÁFICOS!$AC$76:$AC$87</c:f>
              <c:numCache>
                <c:formatCode>General</c:formatCode>
                <c:ptCount val="12"/>
                <c:pt idx="0" formatCode="#,##0">
                  <c:v>25</c:v>
                </c:pt>
                <c:pt idx="1">
                  <c:v>43</c:v>
                </c:pt>
                <c:pt idx="2">
                  <c:v>81</c:v>
                </c:pt>
                <c:pt idx="3">
                  <c:v>126</c:v>
                </c:pt>
                <c:pt idx="4">
                  <c:v>184</c:v>
                </c:pt>
                <c:pt idx="5">
                  <c:v>254</c:v>
                </c:pt>
                <c:pt idx="6">
                  <c:v>328</c:v>
                </c:pt>
                <c:pt idx="7">
                  <c:v>408</c:v>
                </c:pt>
                <c:pt idx="8">
                  <c:v>469</c:v>
                </c:pt>
                <c:pt idx="9">
                  <c:v>521</c:v>
                </c:pt>
                <c:pt idx="10">
                  <c:v>554</c:v>
                </c:pt>
                <c:pt idx="11">
                  <c:v>554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40FA-4BEE-A75E-9C7727EDA11F}"/>
            </c:ext>
          </c:extLst>
        </c:ser>
        <c:ser>
          <c:idx val="1"/>
          <c:order val="1"/>
          <c:tx>
            <c:strRef>
              <c:f>GRÁFICOS!$AD$75</c:f>
              <c:strCache>
                <c:ptCount val="1"/>
                <c:pt idx="0">
                  <c:v>Meta Semanal</c:v>
                </c:pt>
              </c:strCache>
            </c:strRef>
          </c:tx>
          <c:spPr>
            <a:ln w="18000">
              <a:solidFill>
                <a:srgbClr val="C8973A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s-MX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GRÁFICOS!$AB$76:$AB$87</c:f>
              <c:strCache>
                <c:ptCount val="12"/>
                <c:pt idx="0">
                  <c:v>Sem 1</c:v>
                </c:pt>
                <c:pt idx="1">
                  <c:v>Sem 2</c:v>
                </c:pt>
                <c:pt idx="2">
                  <c:v>Sem 3</c:v>
                </c:pt>
                <c:pt idx="3">
                  <c:v>Sem 4</c:v>
                </c:pt>
                <c:pt idx="4">
                  <c:v>Sem 5</c:v>
                </c:pt>
                <c:pt idx="5">
                  <c:v>Sem 6</c:v>
                </c:pt>
                <c:pt idx="6">
                  <c:v>Sem 7</c:v>
                </c:pt>
                <c:pt idx="7">
                  <c:v>Sem 8</c:v>
                </c:pt>
                <c:pt idx="8">
                  <c:v>Sem 9</c:v>
                </c:pt>
                <c:pt idx="9">
                  <c:v>Sem 10</c:v>
                </c:pt>
                <c:pt idx="10">
                  <c:v>Sem 11</c:v>
                </c:pt>
                <c:pt idx="11">
                  <c:v>Sem 12</c:v>
                </c:pt>
              </c:strCache>
            </c:strRef>
          </c:cat>
          <c:val>
            <c:numRef>
              <c:f>GRÁFICOS!$AD$76:$AD$87</c:f>
              <c:numCache>
                <c:formatCode>General</c:formatCode>
                <c:ptCount val="12"/>
                <c:pt idx="0">
                  <c:v>26.666666666666668</c:v>
                </c:pt>
                <c:pt idx="1">
                  <c:v>53.333333333333336</c:v>
                </c:pt>
                <c:pt idx="2">
                  <c:v>80</c:v>
                </c:pt>
                <c:pt idx="3">
                  <c:v>106.66666666666667</c:v>
                </c:pt>
                <c:pt idx="4">
                  <c:v>133.33333333333334</c:v>
                </c:pt>
                <c:pt idx="5">
                  <c:v>160</c:v>
                </c:pt>
                <c:pt idx="6">
                  <c:v>186.66666666666669</c:v>
                </c:pt>
                <c:pt idx="7">
                  <c:v>213.33333333333334</c:v>
                </c:pt>
                <c:pt idx="8">
                  <c:v>240</c:v>
                </c:pt>
                <c:pt idx="9">
                  <c:v>266.66666666666669</c:v>
                </c:pt>
                <c:pt idx="10">
                  <c:v>293.33333333333337</c:v>
                </c:pt>
                <c:pt idx="11">
                  <c:v>320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40FA-4BEE-A75E-9C7727EDA1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17035477"/>
        <c:axId val="17273674"/>
      </c:lineChart>
      <c:catAx>
        <c:axId val="17035477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s-MX" sz="1000" b="1" strike="noStrike" spc="-1">
                    <a:solidFill>
                      <a:srgbClr val="000000"/>
                    </a:solidFill>
                    <a:latin typeface="Calibri"/>
                  </a:rPr>
                  <a:t>Semana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s-MX"/>
          </a:p>
        </c:txPr>
        <c:crossAx val="17273674"/>
        <c:crosses val="autoZero"/>
        <c:auto val="1"/>
        <c:lblAlgn val="ctr"/>
        <c:lblOffset val="100"/>
        <c:noMultiLvlLbl val="0"/>
      </c:catAx>
      <c:valAx>
        <c:axId val="1727367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s-MX" sz="1000" b="1" strike="noStrike" spc="-1">
                    <a:solidFill>
                      <a:srgbClr val="000000"/>
                    </a:solidFill>
                    <a:latin typeface="Calibri"/>
                  </a:rPr>
                  <a:t>Ventas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s-MX"/>
          </a:p>
        </c:txPr>
        <c:crossAx val="17035477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s-MX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s-MX" sz="1800" b="1" strike="noStrike" spc="-1">
                <a:solidFill>
                  <a:srgbClr val="000000"/>
                </a:solidFill>
                <a:latin typeface="Calibri"/>
              </a:rPr>
              <a:t>Avance Acumulado BDD Captada vs Meta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GRÁFICOS!$AC$92</c:f>
              <c:strCache>
                <c:ptCount val="1"/>
                <c:pt idx="0">
                  <c:v>BDD Captada</c:v>
                </c:pt>
              </c:strCache>
            </c:strRef>
          </c:tx>
          <c:spPr>
            <a:ln w="24840">
              <a:solidFill>
                <a:srgbClr val="2E7D52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s-MX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GRÁFICOS!$AB$93:$AB$104</c:f>
              <c:strCache>
                <c:ptCount val="12"/>
                <c:pt idx="0">
                  <c:v>Sem 1</c:v>
                </c:pt>
                <c:pt idx="1">
                  <c:v>Sem 2</c:v>
                </c:pt>
                <c:pt idx="2">
                  <c:v>Sem 3</c:v>
                </c:pt>
                <c:pt idx="3">
                  <c:v>Sem 4</c:v>
                </c:pt>
                <c:pt idx="4">
                  <c:v>Sem 5</c:v>
                </c:pt>
                <c:pt idx="5">
                  <c:v>Sem 6</c:v>
                </c:pt>
                <c:pt idx="6">
                  <c:v>Sem 7</c:v>
                </c:pt>
                <c:pt idx="7">
                  <c:v>Sem 8</c:v>
                </c:pt>
                <c:pt idx="8">
                  <c:v>Sem 9</c:v>
                </c:pt>
                <c:pt idx="9">
                  <c:v>Sem 10</c:v>
                </c:pt>
                <c:pt idx="10">
                  <c:v>Sem 11</c:v>
                </c:pt>
                <c:pt idx="11">
                  <c:v>Sem 12</c:v>
                </c:pt>
              </c:strCache>
            </c:strRef>
          </c:cat>
          <c:val>
            <c:numRef>
              <c:f>GRÁFICOS!$AC$93:$AC$104</c:f>
              <c:numCache>
                <c:formatCode>General</c:formatCode>
                <c:ptCount val="12"/>
                <c:pt idx="0" formatCode="#,##0">
                  <c:v>400</c:v>
                </c:pt>
                <c:pt idx="1">
                  <c:v>890</c:v>
                </c:pt>
                <c:pt idx="2">
                  <c:v>1450</c:v>
                </c:pt>
                <c:pt idx="3">
                  <c:v>2085</c:v>
                </c:pt>
                <c:pt idx="4">
                  <c:v>2633</c:v>
                </c:pt>
                <c:pt idx="5">
                  <c:v>3258</c:v>
                </c:pt>
                <c:pt idx="6">
                  <c:v>3948</c:v>
                </c:pt>
                <c:pt idx="7">
                  <c:v>4658</c:v>
                </c:pt>
                <c:pt idx="8">
                  <c:v>5233</c:v>
                </c:pt>
                <c:pt idx="9">
                  <c:v>5756</c:v>
                </c:pt>
                <c:pt idx="10">
                  <c:v>6048</c:v>
                </c:pt>
                <c:pt idx="11">
                  <c:v>6048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1C8-4BE3-A04A-B47448108E37}"/>
            </c:ext>
          </c:extLst>
        </c:ser>
        <c:ser>
          <c:idx val="1"/>
          <c:order val="1"/>
          <c:tx>
            <c:strRef>
              <c:f>GRÁFICOS!$AD$92</c:f>
              <c:strCache>
                <c:ptCount val="1"/>
                <c:pt idx="0">
                  <c:v>Meta BDD</c:v>
                </c:pt>
              </c:strCache>
            </c:strRef>
          </c:tx>
          <c:spPr>
            <a:ln w="18000">
              <a:solidFill>
                <a:srgbClr val="C8973A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s-MX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GRÁFICOS!$AB$93:$AB$104</c:f>
              <c:strCache>
                <c:ptCount val="12"/>
                <c:pt idx="0">
                  <c:v>Sem 1</c:v>
                </c:pt>
                <c:pt idx="1">
                  <c:v>Sem 2</c:v>
                </c:pt>
                <c:pt idx="2">
                  <c:v>Sem 3</c:v>
                </c:pt>
                <c:pt idx="3">
                  <c:v>Sem 4</c:v>
                </c:pt>
                <c:pt idx="4">
                  <c:v>Sem 5</c:v>
                </c:pt>
                <c:pt idx="5">
                  <c:v>Sem 6</c:v>
                </c:pt>
                <c:pt idx="6">
                  <c:v>Sem 7</c:v>
                </c:pt>
                <c:pt idx="7">
                  <c:v>Sem 8</c:v>
                </c:pt>
                <c:pt idx="8">
                  <c:v>Sem 9</c:v>
                </c:pt>
                <c:pt idx="9">
                  <c:v>Sem 10</c:v>
                </c:pt>
                <c:pt idx="10">
                  <c:v>Sem 11</c:v>
                </c:pt>
                <c:pt idx="11">
                  <c:v>Sem 12</c:v>
                </c:pt>
              </c:strCache>
            </c:strRef>
          </c:cat>
          <c:val>
            <c:numRef>
              <c:f>GRÁFICOS!$AD$93:$AD$104</c:f>
              <c:numCache>
                <c:formatCode>General</c:formatCode>
                <c:ptCount val="12"/>
                <c:pt idx="0">
                  <c:v>1833.3333333333333</c:v>
                </c:pt>
                <c:pt idx="1">
                  <c:v>3666.6666666666665</c:v>
                </c:pt>
                <c:pt idx="2">
                  <c:v>5500</c:v>
                </c:pt>
                <c:pt idx="3">
                  <c:v>7333.333333333333</c:v>
                </c:pt>
                <c:pt idx="4">
                  <c:v>9166.6666666666661</c:v>
                </c:pt>
                <c:pt idx="5">
                  <c:v>11000</c:v>
                </c:pt>
                <c:pt idx="6">
                  <c:v>12833.333333333332</c:v>
                </c:pt>
                <c:pt idx="7">
                  <c:v>14666.666666666666</c:v>
                </c:pt>
                <c:pt idx="8">
                  <c:v>16500</c:v>
                </c:pt>
                <c:pt idx="9">
                  <c:v>18333.333333333332</c:v>
                </c:pt>
                <c:pt idx="10">
                  <c:v>20166.666666666664</c:v>
                </c:pt>
                <c:pt idx="11">
                  <c:v>22000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1C8-4BE3-A04A-B47448108E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57653866"/>
        <c:axId val="28900894"/>
      </c:lineChart>
      <c:catAx>
        <c:axId val="5765386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s-MX" sz="1000" b="1" strike="noStrike" spc="-1">
                    <a:solidFill>
                      <a:srgbClr val="000000"/>
                    </a:solidFill>
                    <a:latin typeface="Calibri"/>
                  </a:rPr>
                  <a:t>Semana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s-MX"/>
          </a:p>
        </c:txPr>
        <c:crossAx val="28900894"/>
        <c:crosses val="autoZero"/>
        <c:auto val="1"/>
        <c:lblAlgn val="ctr"/>
        <c:lblOffset val="100"/>
        <c:noMultiLvlLbl val="0"/>
      </c:catAx>
      <c:valAx>
        <c:axId val="2890089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s-MX" sz="1000" b="1" strike="noStrike" spc="-1">
                    <a:solidFill>
                      <a:srgbClr val="000000"/>
                    </a:solidFill>
                    <a:latin typeface="Calibri"/>
                  </a:rPr>
                  <a:t>Registros (BDD)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s-MX"/>
          </a:p>
        </c:txPr>
        <c:crossAx val="57653866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s-MX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s-MX" sz="1800" b="1" strike="noStrike" spc="-1">
                <a:solidFill>
                  <a:srgbClr val="000000"/>
                </a:solidFill>
                <a:latin typeface="Calibri"/>
              </a:rPr>
              <a:t>% Avance de Ventas por Origen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GRÁFICOS!$AE$110</c:f>
              <c:strCache>
                <c:ptCount val="1"/>
                <c:pt idx="0">
                  <c:v>% Avance</c:v>
                </c:pt>
              </c:strCache>
            </c:strRef>
          </c:tx>
          <c:spPr>
            <a:solidFill>
              <a:srgbClr val="1A3A6B"/>
            </a:solidFill>
            <a:ln w="0">
              <a:solidFill>
                <a:srgbClr val="000000"/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GRÁFICOS!$AB$111:$AB$115</c:f>
              <c:strCache>
                <c:ptCount val="5"/>
                <c:pt idx="0">
                  <c:v>In bound</c:v>
                </c:pt>
                <c:pt idx="1">
                  <c:v>Pub. tradicional</c:v>
                </c:pt>
                <c:pt idx="2">
                  <c:v>Prospección</c:v>
                </c:pt>
                <c:pt idx="3">
                  <c:v>Referidos</c:v>
                </c:pt>
                <c:pt idx="4">
                  <c:v>Otros</c:v>
                </c:pt>
              </c:strCache>
            </c:strRef>
          </c:cat>
          <c:val>
            <c:numRef>
              <c:f>GRÁFICOS!$AE$111:$AE$115</c:f>
              <c:numCache>
                <c:formatCode>0.0%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2.65</c:v>
                </c:pt>
                <c:pt idx="3">
                  <c:v>0.46500000000000002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0C-4C95-A892-25895FF791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8140951"/>
        <c:axId val="16500837"/>
      </c:barChart>
      <c:catAx>
        <c:axId val="68140951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s-MX" sz="1000" b="1" strike="noStrike" spc="-1">
                    <a:solidFill>
                      <a:srgbClr val="000000"/>
                    </a:solidFill>
                    <a:latin typeface="Calibri"/>
                  </a:rPr>
                  <a:t>% Cumplimiento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s-MX"/>
          </a:p>
        </c:txPr>
        <c:crossAx val="16500837"/>
        <c:crosses val="autoZero"/>
        <c:auto val="1"/>
        <c:lblAlgn val="ctr"/>
        <c:lblOffset val="100"/>
        <c:noMultiLvlLbl val="0"/>
      </c:catAx>
      <c:valAx>
        <c:axId val="16500837"/>
        <c:scaling>
          <c:orientation val="minMax"/>
        </c:scaling>
        <c:delete val="0"/>
        <c:axPos val="b"/>
        <c:majorGridlines>
          <c:spPr>
            <a:ln w="0">
              <a:solidFill>
                <a:srgbClr val="B3B3B3"/>
              </a:solidFill>
            </a:ln>
          </c:spPr>
        </c:majorGridlines>
        <c:numFmt formatCode="0.0%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s-MX"/>
          </a:p>
        </c:txPr>
        <c:crossAx val="68140951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s-MX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s-MX" sz="1800" b="1" strike="noStrike" spc="-1">
                <a:solidFill>
                  <a:srgbClr val="000000"/>
                </a:solidFill>
                <a:latin typeface="Calibri"/>
              </a:rPr>
              <a:t>% Avance BDD por Origen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GRÁFICOS!$AE$120</c:f>
              <c:strCache>
                <c:ptCount val="1"/>
                <c:pt idx="0">
                  <c:v>% Avance</c:v>
                </c:pt>
              </c:strCache>
            </c:strRef>
          </c:tx>
          <c:spPr>
            <a:solidFill>
              <a:srgbClr val="2E7D52"/>
            </a:solidFill>
            <a:ln w="0">
              <a:solidFill>
                <a:srgbClr val="000000"/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GRÁFICOS!$AB$121:$AB$125</c:f>
              <c:strCache>
                <c:ptCount val="5"/>
                <c:pt idx="0">
                  <c:v>In bound</c:v>
                </c:pt>
                <c:pt idx="1">
                  <c:v>Pub. tradicional</c:v>
                </c:pt>
                <c:pt idx="2">
                  <c:v>Prospección</c:v>
                </c:pt>
                <c:pt idx="3">
                  <c:v>Referidos</c:v>
                </c:pt>
                <c:pt idx="4">
                  <c:v>Otros</c:v>
                </c:pt>
              </c:strCache>
            </c:strRef>
          </c:cat>
          <c:val>
            <c:numRef>
              <c:f>GRÁFICOS!$AE$121:$AE$125</c:f>
              <c:numCache>
                <c:formatCode>0.0%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0.36416666666666669</c:v>
                </c:pt>
                <c:pt idx="3">
                  <c:v>3.6999999999999998E-2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C0-4D03-AABE-F8769150DA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028772"/>
        <c:axId val="34361330"/>
      </c:barChart>
      <c:catAx>
        <c:axId val="30028772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s-MX" sz="1000" b="1" strike="noStrike" spc="-1">
                    <a:solidFill>
                      <a:srgbClr val="000000"/>
                    </a:solidFill>
                    <a:latin typeface="Calibri"/>
                  </a:rPr>
                  <a:t>% Cumplimiento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s-MX"/>
          </a:p>
        </c:txPr>
        <c:crossAx val="34361330"/>
        <c:crosses val="autoZero"/>
        <c:auto val="1"/>
        <c:lblAlgn val="ctr"/>
        <c:lblOffset val="100"/>
        <c:noMultiLvlLbl val="0"/>
      </c:catAx>
      <c:valAx>
        <c:axId val="34361330"/>
        <c:scaling>
          <c:orientation val="minMax"/>
        </c:scaling>
        <c:delete val="0"/>
        <c:axPos val="b"/>
        <c:majorGridlines>
          <c:spPr>
            <a:ln w="0">
              <a:solidFill>
                <a:srgbClr val="B3B3B3"/>
              </a:solidFill>
            </a:ln>
          </c:spPr>
        </c:majorGridlines>
        <c:numFmt formatCode="0.0%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s-MX"/>
          </a:p>
        </c:txPr>
        <c:crossAx val="30028772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s-MX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5</xdr:col>
      <xdr:colOff>668880</xdr:colOff>
      <xdr:row>29</xdr:row>
      <xdr:rowOff>106920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12</xdr:col>
      <xdr:colOff>0</xdr:colOff>
      <xdr:row>5</xdr:row>
      <xdr:rowOff>0</xdr:rowOff>
    </xdr:from>
    <xdr:to>
      <xdr:col>23</xdr:col>
      <xdr:colOff>165600</xdr:colOff>
      <xdr:row>29</xdr:row>
      <xdr:rowOff>106920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50</xdr:row>
      <xdr:rowOff>117230</xdr:rowOff>
    </xdr:from>
    <xdr:to>
      <xdr:col>10</xdr:col>
      <xdr:colOff>24480</xdr:colOff>
      <xdr:row>74</xdr:row>
      <xdr:rowOff>109163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13</xdr:col>
      <xdr:colOff>117231</xdr:colOff>
      <xdr:row>33</xdr:row>
      <xdr:rowOff>29307</xdr:rowOff>
    </xdr:from>
    <xdr:to>
      <xdr:col>24</xdr:col>
      <xdr:colOff>282831</xdr:colOff>
      <xdr:row>52</xdr:row>
      <xdr:rowOff>50547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263770</xdr:colOff>
      <xdr:row>75</xdr:row>
      <xdr:rowOff>87923</xdr:rowOff>
    </xdr:from>
    <xdr:to>
      <xdr:col>6</xdr:col>
      <xdr:colOff>258573</xdr:colOff>
      <xdr:row>97</xdr:row>
      <xdr:rowOff>175763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1B3E"/>
  </sheetPr>
  <dimension ref="A1:K12"/>
  <sheetViews>
    <sheetView showGridLines="0" topLeftCell="E1" zoomScale="176" zoomScaleNormal="100" workbookViewId="0">
      <pane ySplit="2" topLeftCell="A3" activePane="bottomLeft" state="frozen"/>
      <selection pane="bottomLeft" activeCell="A3" sqref="A3:D3"/>
    </sheetView>
  </sheetViews>
  <sheetFormatPr baseColWidth="10" defaultColWidth="8.6640625" defaultRowHeight="14.4"/>
  <cols>
    <col min="1" max="1" width="6" customWidth="1"/>
    <col min="2" max="2" width="30" customWidth="1"/>
    <col min="3" max="3" width="18" customWidth="1"/>
    <col min="4" max="4" width="6" customWidth="1"/>
    <col min="5" max="5" width="18" customWidth="1"/>
    <col min="6" max="6" width="30" customWidth="1"/>
    <col min="7" max="10" width="16" customWidth="1"/>
  </cols>
  <sheetData>
    <row r="1" spans="1:11" ht="39.75" customHeight="1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</row>
    <row r="2" spans="1:11" ht="6" customHeight="1"/>
    <row r="3" spans="1:11" ht="15" customHeight="1">
      <c r="A3" s="62" t="s">
        <v>1</v>
      </c>
      <c r="B3" s="62"/>
      <c r="C3" s="62"/>
      <c r="D3" s="62"/>
      <c r="F3" s="62" t="s">
        <v>2</v>
      </c>
      <c r="G3" s="62"/>
      <c r="H3" s="62"/>
      <c r="I3" s="62"/>
      <c r="J3" s="62"/>
    </row>
    <row r="4" spans="1:11" ht="15" customHeight="1">
      <c r="A4" s="63" t="s">
        <v>3</v>
      </c>
      <c r="B4" s="63"/>
      <c r="C4" s="64">
        <v>120</v>
      </c>
      <c r="D4" s="64"/>
      <c r="E4" s="1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</row>
    <row r="5" spans="1:11" ht="15" customHeight="1">
      <c r="A5" s="65" t="s">
        <v>10</v>
      </c>
      <c r="B5" s="65"/>
      <c r="C5" s="64">
        <v>100</v>
      </c>
      <c r="D5" s="64"/>
      <c r="E5" s="1" t="s">
        <v>4</v>
      </c>
      <c r="F5" s="3" t="s">
        <v>11</v>
      </c>
      <c r="G5" s="4">
        <v>0</v>
      </c>
      <c r="H5" s="5">
        <f>G5/G10</f>
        <v>0</v>
      </c>
      <c r="I5" s="6">
        <v>0</v>
      </c>
      <c r="J5" s="7">
        <f>IFERROR(G5/I5, 0)</f>
        <v>0</v>
      </c>
      <c r="K5" s="8"/>
    </row>
    <row r="6" spans="1:11" ht="15" customHeight="1">
      <c r="A6" s="63" t="s">
        <v>12</v>
      </c>
      <c r="B6" s="63"/>
      <c r="C6" s="66">
        <v>0.08</v>
      </c>
      <c r="D6" s="66"/>
      <c r="E6" s="1" t="s">
        <v>4</v>
      </c>
      <c r="F6" s="9" t="s">
        <v>13</v>
      </c>
      <c r="G6" s="10">
        <v>0</v>
      </c>
      <c r="H6" s="11">
        <f>G6/G10</f>
        <v>0</v>
      </c>
      <c r="I6" s="12">
        <v>0</v>
      </c>
      <c r="J6" s="7">
        <f>IFERROR(G6/I6, 0)</f>
        <v>0</v>
      </c>
    </row>
    <row r="7" spans="1:11" ht="14.25" customHeight="1">
      <c r="A7" s="65" t="s">
        <v>14</v>
      </c>
      <c r="B7" s="65"/>
      <c r="C7" s="67">
        <v>5000</v>
      </c>
      <c r="D7" s="67"/>
      <c r="E7" s="1" t="s">
        <v>4</v>
      </c>
      <c r="F7" s="3" t="s">
        <v>15</v>
      </c>
      <c r="G7" s="4">
        <v>120</v>
      </c>
      <c r="H7" s="5">
        <f>G7/G10</f>
        <v>0.375</v>
      </c>
      <c r="I7" s="6">
        <v>0.01</v>
      </c>
      <c r="J7" s="7">
        <f>IFERROR(G7/I7, 0)</f>
        <v>12000</v>
      </c>
    </row>
    <row r="8" spans="1:11" ht="14.25" customHeight="1">
      <c r="A8" s="63" t="s">
        <v>16</v>
      </c>
      <c r="B8" s="63"/>
      <c r="C8" s="68">
        <v>10</v>
      </c>
      <c r="D8" s="68"/>
      <c r="E8" s="1" t="s">
        <v>4</v>
      </c>
      <c r="F8" s="9" t="s">
        <v>17</v>
      </c>
      <c r="G8" s="10">
        <v>200</v>
      </c>
      <c r="H8" s="11">
        <f>G8/G10</f>
        <v>0.625</v>
      </c>
      <c r="I8" s="12">
        <v>0.02</v>
      </c>
      <c r="J8" s="7">
        <f>IFERROR(G8/I8, 0)</f>
        <v>10000</v>
      </c>
    </row>
    <row r="9" spans="1:11" ht="14.25" customHeight="1">
      <c r="A9" s="65" t="s">
        <v>18</v>
      </c>
      <c r="B9" s="65"/>
      <c r="C9" s="67">
        <v>50000</v>
      </c>
      <c r="D9" s="67"/>
      <c r="E9" s="1" t="s">
        <v>4</v>
      </c>
      <c r="F9" s="3" t="s">
        <v>19</v>
      </c>
      <c r="G9" s="4">
        <v>0</v>
      </c>
      <c r="H9" s="5">
        <f>G9/G10</f>
        <v>0</v>
      </c>
      <c r="I9" s="6">
        <v>0</v>
      </c>
      <c r="J9" s="7">
        <f>IFERROR(G9/I9, 0)</f>
        <v>0</v>
      </c>
    </row>
    <row r="10" spans="1:11" ht="14.25" customHeight="1">
      <c r="F10" s="13" t="s">
        <v>20</v>
      </c>
      <c r="G10" s="14">
        <f>SUM(G5:G9)</f>
        <v>320</v>
      </c>
      <c r="H10" s="15"/>
      <c r="I10" s="15"/>
      <c r="J10" s="15"/>
    </row>
    <row r="12" spans="1:11" ht="14.25" customHeight="1">
      <c r="F12" s="69" t="s">
        <v>21</v>
      </c>
      <c r="G12" s="69"/>
      <c r="H12" s="69"/>
      <c r="I12" s="69"/>
      <c r="J12" s="69"/>
    </row>
  </sheetData>
  <mergeCells count="16">
    <mergeCell ref="A8:B8"/>
    <mergeCell ref="C8:D8"/>
    <mergeCell ref="A9:B9"/>
    <mergeCell ref="C9:D9"/>
    <mergeCell ref="F12:J12"/>
    <mergeCell ref="A5:B5"/>
    <mergeCell ref="C5:D5"/>
    <mergeCell ref="A6:B6"/>
    <mergeCell ref="C6:D6"/>
    <mergeCell ref="A7:B7"/>
    <mergeCell ref="C7:D7"/>
    <mergeCell ref="A1:J1"/>
    <mergeCell ref="A3:D3"/>
    <mergeCell ref="F3:J3"/>
    <mergeCell ref="A4:B4"/>
    <mergeCell ref="C4:D4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4A4A8A"/>
  </sheetPr>
  <dimension ref="A1:F11"/>
  <sheetViews>
    <sheetView showGridLines="0" zoomScale="150" zoomScaleNormal="100" workbookViewId="0">
      <selection activeCell="C10" sqref="C10:D10"/>
    </sheetView>
  </sheetViews>
  <sheetFormatPr baseColWidth="10" defaultColWidth="8.6640625" defaultRowHeight="14.4"/>
  <cols>
    <col min="1" max="1" width="4" customWidth="1"/>
    <col min="2" max="2" width="36" customWidth="1"/>
    <col min="3" max="3" width="22" customWidth="1"/>
    <col min="4" max="4" width="6" customWidth="1"/>
  </cols>
  <sheetData>
    <row r="1" spans="1:6" ht="39.75" customHeight="1">
      <c r="A1" s="61" t="s">
        <v>94</v>
      </c>
      <c r="B1" s="61"/>
      <c r="C1" s="61"/>
      <c r="D1" s="61"/>
      <c r="E1" s="61"/>
      <c r="F1" s="61"/>
    </row>
    <row r="3" spans="1:6" ht="15" customHeight="1">
      <c r="A3" s="62" t="s">
        <v>95</v>
      </c>
      <c r="B3" s="62"/>
      <c r="C3" s="62"/>
      <c r="D3" s="62"/>
    </row>
    <row r="4" spans="1:6" ht="14.25" customHeight="1">
      <c r="A4" s="85" t="s">
        <v>96</v>
      </c>
      <c r="B4" s="85"/>
      <c r="C4" s="86">
        <v>400</v>
      </c>
      <c r="D4" s="86"/>
    </row>
    <row r="5" spans="1:6" ht="14.25" customHeight="1">
      <c r="A5" s="85" t="s">
        <v>97</v>
      </c>
      <c r="B5" s="85"/>
      <c r="C5" s="87">
        <v>0.08</v>
      </c>
      <c r="D5" s="87"/>
    </row>
    <row r="6" spans="1:6" ht="14.25" customHeight="1">
      <c r="A6" s="85" t="s">
        <v>98</v>
      </c>
      <c r="B6" s="85"/>
      <c r="C6" s="89">
        <v>10</v>
      </c>
      <c r="D6" s="89"/>
    </row>
    <row r="8" spans="1:6" ht="15" customHeight="1">
      <c r="A8" s="62" t="s">
        <v>99</v>
      </c>
      <c r="B8" s="62"/>
      <c r="C8" s="62"/>
      <c r="D8" s="62"/>
    </row>
    <row r="9" spans="1:6" ht="14.25" customHeight="1">
      <c r="A9" s="85" t="s">
        <v>29</v>
      </c>
      <c r="B9" s="85"/>
      <c r="C9" s="90">
        <f>ROUNDUP(C4/C5,0)</f>
        <v>5000</v>
      </c>
      <c r="D9" s="90"/>
    </row>
    <row r="10" spans="1:6" ht="14.25" customHeight="1">
      <c r="A10" s="85" t="s">
        <v>18</v>
      </c>
      <c r="B10" s="85"/>
      <c r="C10" s="88">
        <f>ROUNDUP(C4/C5,0)*C6</f>
        <v>50000</v>
      </c>
      <c r="D10" s="88"/>
    </row>
    <row r="11" spans="1:6" ht="14.25" customHeight="1">
      <c r="A11" s="85" t="s">
        <v>100</v>
      </c>
      <c r="B11" s="85"/>
      <c r="C11" s="88">
        <f>IF(C4=0,0,ROUNDUP(C4/C5,0)*C6/C4)</f>
        <v>125</v>
      </c>
      <c r="D11" s="88"/>
    </row>
  </sheetData>
  <mergeCells count="15">
    <mergeCell ref="A10:B10"/>
    <mergeCell ref="C10:D10"/>
    <mergeCell ref="A11:B11"/>
    <mergeCell ref="C11:D11"/>
    <mergeCell ref="A6:B6"/>
    <mergeCell ref="C6:D6"/>
    <mergeCell ref="A8:D8"/>
    <mergeCell ref="A9:B9"/>
    <mergeCell ref="C9:D9"/>
    <mergeCell ref="A1:F1"/>
    <mergeCell ref="A3:D3"/>
    <mergeCell ref="A4:B4"/>
    <mergeCell ref="C4:D4"/>
    <mergeCell ref="A5:B5"/>
    <mergeCell ref="C5:D5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A3A6B"/>
  </sheetPr>
  <dimension ref="A1:H9"/>
  <sheetViews>
    <sheetView showGridLines="0" zoomScale="165" zoomScaleNormal="100" workbookViewId="0">
      <pane xSplit="1" ySplit="3" topLeftCell="D4" activePane="bottomRight" state="frozen"/>
      <selection pane="topRight" activeCell="B1" sqref="B1"/>
      <selection pane="bottomLeft" activeCell="A4" sqref="A4"/>
      <selection pane="bottomRight" activeCell="D7" sqref="D7"/>
    </sheetView>
  </sheetViews>
  <sheetFormatPr baseColWidth="10" defaultColWidth="8.6640625" defaultRowHeight="14.4"/>
  <cols>
    <col min="1" max="1" width="32" customWidth="1"/>
    <col min="2" max="2" width="18" customWidth="1"/>
    <col min="3" max="4" width="20" customWidth="1"/>
    <col min="5" max="5" width="16" customWidth="1"/>
    <col min="6" max="6" width="14" customWidth="1"/>
    <col min="7" max="7" width="22" customWidth="1"/>
    <col min="8" max="8" width="14" hidden="1" customWidth="1"/>
  </cols>
  <sheetData>
    <row r="1" spans="1:8" ht="39.75" customHeight="1">
      <c r="A1" s="61" t="s">
        <v>22</v>
      </c>
      <c r="B1" s="61"/>
      <c r="C1" s="61"/>
      <c r="D1" s="61"/>
      <c r="E1" s="61"/>
      <c r="F1" s="61"/>
      <c r="G1" s="61"/>
    </row>
    <row r="2" spans="1:8" ht="7.5" customHeight="1">
      <c r="A2" s="70" t="s">
        <v>23</v>
      </c>
      <c r="B2" s="70"/>
      <c r="C2" s="71" t="s">
        <v>24</v>
      </c>
      <c r="D2" s="71"/>
      <c r="E2" s="72" t="s">
        <v>25</v>
      </c>
      <c r="F2" s="72"/>
    </row>
    <row r="3" spans="1:8" ht="36" customHeight="1">
      <c r="A3" s="2" t="s">
        <v>5</v>
      </c>
      <c r="B3" s="2" t="s">
        <v>26</v>
      </c>
      <c r="C3" s="2" t="s">
        <v>27</v>
      </c>
      <c r="D3" s="2" t="s">
        <v>28</v>
      </c>
      <c r="E3" s="2" t="s">
        <v>29</v>
      </c>
      <c r="F3" s="2" t="s">
        <v>30</v>
      </c>
      <c r="G3" s="2" t="s">
        <v>31</v>
      </c>
      <c r="H3" s="2" t="s">
        <v>32</v>
      </c>
    </row>
    <row r="4" spans="1:8" ht="14.25" customHeight="1">
      <c r="A4" s="16" t="s">
        <v>11</v>
      </c>
      <c r="B4" s="17">
        <v>0</v>
      </c>
      <c r="C4" s="18">
        <f>IF(B9=0,0,B4/B9)</f>
        <v>0</v>
      </c>
      <c r="D4" s="19">
        <v>0</v>
      </c>
      <c r="E4" s="20">
        <f>IF(D4=0,0,ROUNDUP(B4/D4,0))</f>
        <v>0</v>
      </c>
      <c r="F4" s="21">
        <v>0</v>
      </c>
      <c r="G4" s="22">
        <f>E4*F4</f>
        <v>0</v>
      </c>
      <c r="H4" s="23" t="str">
        <f>IF(D4&gt;=0.1,"🟢 ALTA",IF(D4&gt;=0.05,"🟡 MEDIA","🔴 BAJA"))</f>
        <v>🔴 BAJA</v>
      </c>
    </row>
    <row r="5" spans="1:8" ht="14.25" customHeight="1">
      <c r="A5" s="24" t="s">
        <v>13</v>
      </c>
      <c r="B5" s="17">
        <v>0</v>
      </c>
      <c r="C5" s="25">
        <f>IF(B9=0,0,B5/B9)</f>
        <v>0</v>
      </c>
      <c r="D5" s="19">
        <v>0</v>
      </c>
      <c r="E5" s="26">
        <f>IF(D5=0,0,ROUNDUP(B5/D5,0))</f>
        <v>0</v>
      </c>
      <c r="F5" s="21">
        <v>0</v>
      </c>
      <c r="G5" s="27">
        <f>E5*F5</f>
        <v>0</v>
      </c>
      <c r="H5" s="28" t="str">
        <f>IF(D5&gt;=0.1,"🟢 ALTA",IF(D5&gt;=0.05,"🟡 MEDIA","🔴 BAJA"))</f>
        <v>🔴 BAJA</v>
      </c>
    </row>
    <row r="6" spans="1:8" ht="14.25" customHeight="1">
      <c r="A6" s="16" t="s">
        <v>15</v>
      </c>
      <c r="B6" s="17">
        <v>120</v>
      </c>
      <c r="C6" s="18">
        <f>IF(B9=0,0,B6/B9)</f>
        <v>0.375</v>
      </c>
      <c r="D6" s="19">
        <v>0.01</v>
      </c>
      <c r="E6" s="20">
        <f>IF(D6=0,0,ROUNDUP(B6/D6,0))</f>
        <v>12000</v>
      </c>
      <c r="F6" s="21">
        <v>10</v>
      </c>
      <c r="G6" s="22">
        <f>E6*F6</f>
        <v>120000</v>
      </c>
      <c r="H6" s="23" t="str">
        <f>IF(D6&gt;=0.1,"🟢 ALTA",IF(D6&gt;=0.05,"🟡 MEDIA","🔴 BAJA"))</f>
        <v>🔴 BAJA</v>
      </c>
    </row>
    <row r="7" spans="1:8" ht="14.25" customHeight="1">
      <c r="A7" s="24" t="s">
        <v>17</v>
      </c>
      <c r="B7" s="17">
        <v>200</v>
      </c>
      <c r="C7" s="25">
        <f>IF(B9=0,0,B7/B9)</f>
        <v>0.625</v>
      </c>
      <c r="D7" s="19">
        <v>0.02</v>
      </c>
      <c r="E7" s="26">
        <f>IF(D7=0,0,ROUNDUP(B7/D7,0))</f>
        <v>10000</v>
      </c>
      <c r="F7" s="21">
        <v>15</v>
      </c>
      <c r="G7" s="27">
        <f>E7*F7</f>
        <v>150000</v>
      </c>
      <c r="H7" s="28" t="str">
        <f>IF(D7&gt;=0.1,"🟢 ALTA",IF(D7&gt;=0.05,"🟡 MEDIA","🔴 BAJA"))</f>
        <v>🔴 BAJA</v>
      </c>
    </row>
    <row r="8" spans="1:8" ht="14.25" customHeight="1">
      <c r="A8" s="16" t="s">
        <v>19</v>
      </c>
      <c r="B8" s="17">
        <v>0</v>
      </c>
      <c r="C8" s="18">
        <f>IF(B9=0,0,B8/B9)</f>
        <v>0</v>
      </c>
      <c r="D8" s="19">
        <v>0</v>
      </c>
      <c r="E8" s="20">
        <f>IF(D8=0,0,ROUNDUP(B8/D8,0))</f>
        <v>0</v>
      </c>
      <c r="F8" s="21">
        <v>0</v>
      </c>
      <c r="G8" s="22">
        <f>E8*F8</f>
        <v>0</v>
      </c>
      <c r="H8" s="23" t="str">
        <f>IF(D8&gt;=0.1,"🟢 ALTA",IF(D8&gt;=0.05,"🟡 MEDIA","🔴 BAJA"))</f>
        <v>🔴 BAJA</v>
      </c>
    </row>
    <row r="9" spans="1:8" ht="30" customHeight="1">
      <c r="A9" s="29" t="s">
        <v>20</v>
      </c>
      <c r="B9" s="30">
        <f>SUM(B4:B8)</f>
        <v>320</v>
      </c>
      <c r="C9" s="31">
        <f>SUM(C4:C8)</f>
        <v>1</v>
      </c>
      <c r="D9" s="32">
        <f>AVERAGE(D4:D8)</f>
        <v>6.0000000000000001E-3</v>
      </c>
      <c r="E9" s="30">
        <f>SUM(E4:E8)</f>
        <v>22000</v>
      </c>
      <c r="F9" s="33">
        <f>SUM(F4:F8)</f>
        <v>25</v>
      </c>
      <c r="G9" s="33">
        <f>SUM(G4:G8)</f>
        <v>270000</v>
      </c>
      <c r="H9" s="13"/>
    </row>
  </sheetData>
  <mergeCells count="4">
    <mergeCell ref="A1:G1"/>
    <mergeCell ref="A2:B2"/>
    <mergeCell ref="C2:D2"/>
    <mergeCell ref="E2:F2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8973A"/>
  </sheetPr>
  <dimension ref="A1:F39"/>
  <sheetViews>
    <sheetView showGridLines="0" zoomScaleNormal="100" workbookViewId="0">
      <pane ySplit="3" topLeftCell="A29" activePane="bottomLeft" state="frozen"/>
      <selection pane="bottomLeft" activeCell="E39" sqref="E39"/>
    </sheetView>
  </sheetViews>
  <sheetFormatPr baseColWidth="10" defaultColWidth="8.6640625" defaultRowHeight="14.4"/>
  <cols>
    <col min="1" max="1" width="35" customWidth="1"/>
    <col min="2" max="2" width="20" customWidth="1"/>
    <col min="3" max="4" width="14" customWidth="1"/>
    <col min="5" max="5" width="16" customWidth="1"/>
    <col min="6" max="6" width="30" customWidth="1"/>
  </cols>
  <sheetData>
    <row r="1" spans="1:6" ht="39.75" customHeight="1">
      <c r="A1" s="61" t="s">
        <v>33</v>
      </c>
      <c r="B1" s="61"/>
      <c r="C1" s="61"/>
      <c r="D1" s="61"/>
      <c r="E1" s="61"/>
      <c r="F1" s="61"/>
    </row>
    <row r="2" spans="1:6" ht="14.25" customHeight="1">
      <c r="A2" s="75" t="s">
        <v>34</v>
      </c>
      <c r="B2" s="75"/>
      <c r="C2" s="75"/>
      <c r="D2" s="75"/>
      <c r="E2" s="75"/>
      <c r="F2" s="75"/>
    </row>
    <row r="3" spans="1:6" ht="30" customHeight="1">
      <c r="A3" s="2" t="s">
        <v>35</v>
      </c>
      <c r="B3" s="2" t="s">
        <v>36</v>
      </c>
      <c r="C3" s="2" t="s">
        <v>37</v>
      </c>
      <c r="D3" s="2" t="s">
        <v>38</v>
      </c>
      <c r="E3" s="2" t="s">
        <v>39</v>
      </c>
      <c r="F3" s="2" t="s">
        <v>40</v>
      </c>
    </row>
    <row r="4" spans="1:6" ht="21.75" customHeight="1">
      <c r="A4" s="73" t="s">
        <v>41</v>
      </c>
      <c r="B4" s="73"/>
      <c r="C4" s="73"/>
      <c r="D4" s="73"/>
      <c r="E4" s="73"/>
      <c r="F4" s="73"/>
    </row>
    <row r="5" spans="1:6" ht="19.5" customHeight="1">
      <c r="A5" s="34"/>
      <c r="B5" s="34"/>
      <c r="C5" s="34"/>
      <c r="D5" s="34"/>
      <c r="E5" s="35"/>
      <c r="F5" s="34"/>
    </row>
    <row r="6" spans="1:6" ht="19.5" customHeight="1">
      <c r="A6" s="34"/>
      <c r="B6" s="34"/>
      <c r="C6" s="34"/>
      <c r="D6" s="34"/>
      <c r="E6" s="36"/>
      <c r="F6" s="34"/>
    </row>
    <row r="7" spans="1:6" ht="19.5" customHeight="1">
      <c r="A7" s="34"/>
      <c r="B7" s="34"/>
      <c r="C7" s="34"/>
      <c r="D7" s="34"/>
      <c r="E7" s="35"/>
      <c r="F7" s="34"/>
    </row>
    <row r="8" spans="1:6" ht="19.5" customHeight="1">
      <c r="A8" s="34"/>
      <c r="B8" s="34"/>
      <c r="C8" s="34"/>
      <c r="D8" s="34"/>
      <c r="E8" s="36"/>
      <c r="F8" s="34"/>
    </row>
    <row r="9" spans="1:6" ht="19.5" customHeight="1">
      <c r="A9" s="37" t="s">
        <v>42</v>
      </c>
      <c r="B9" s="38"/>
      <c r="C9" s="38"/>
      <c r="D9" s="38"/>
      <c r="E9" s="39">
        <f>SUM(E5:E8)</f>
        <v>0</v>
      </c>
      <c r="F9" s="38"/>
    </row>
    <row r="11" spans="1:6" ht="21.75" customHeight="1">
      <c r="A11" s="73" t="s">
        <v>43</v>
      </c>
      <c r="B11" s="73"/>
      <c r="C11" s="73"/>
      <c r="D11" s="73"/>
      <c r="E11" s="73"/>
      <c r="F11" s="73"/>
    </row>
    <row r="12" spans="1:6" ht="19.5" customHeight="1">
      <c r="A12" s="34"/>
      <c r="B12" s="34"/>
      <c r="C12" s="34"/>
      <c r="D12" s="34"/>
      <c r="E12" s="35"/>
      <c r="F12" s="34"/>
    </row>
    <row r="13" spans="1:6" ht="19.5" customHeight="1">
      <c r="A13" s="34"/>
      <c r="B13" s="34"/>
      <c r="C13" s="34"/>
      <c r="D13" s="34"/>
      <c r="E13" s="36"/>
      <c r="F13" s="34"/>
    </row>
    <row r="14" spans="1:6" ht="19.5" customHeight="1">
      <c r="A14" s="34"/>
      <c r="B14" s="34"/>
      <c r="C14" s="34"/>
      <c r="D14" s="34"/>
      <c r="E14" s="35"/>
      <c r="F14" s="34"/>
    </row>
    <row r="15" spans="1:6" ht="19.5" customHeight="1">
      <c r="A15" s="34"/>
      <c r="B15" s="34"/>
      <c r="C15" s="34"/>
      <c r="D15" s="34"/>
      <c r="E15" s="36"/>
      <c r="F15" s="34"/>
    </row>
    <row r="16" spans="1:6" ht="19.5" customHeight="1">
      <c r="A16" s="37" t="s">
        <v>44</v>
      </c>
      <c r="B16" s="38"/>
      <c r="C16" s="38"/>
      <c r="D16" s="38"/>
      <c r="E16" s="39">
        <f>SUM(E12:E15)</f>
        <v>0</v>
      </c>
      <c r="F16" s="38"/>
    </row>
    <row r="18" spans="1:6" ht="21.75" customHeight="1">
      <c r="A18" s="73" t="s">
        <v>45</v>
      </c>
      <c r="B18" s="73"/>
      <c r="C18" s="73"/>
      <c r="D18" s="73"/>
      <c r="E18" s="73"/>
      <c r="F18" s="73"/>
    </row>
    <row r="19" spans="1:6" ht="19.5" customHeight="1">
      <c r="A19" s="34" t="s">
        <v>101</v>
      </c>
      <c r="B19" s="34" t="s">
        <v>102</v>
      </c>
      <c r="C19" s="40">
        <v>46188</v>
      </c>
      <c r="D19" s="40"/>
      <c r="E19" s="35">
        <v>40</v>
      </c>
      <c r="F19" s="34"/>
    </row>
    <row r="20" spans="1:6" ht="19.5" customHeight="1">
      <c r="A20" s="34"/>
      <c r="B20" s="34"/>
      <c r="C20" s="34"/>
      <c r="D20" s="34"/>
      <c r="E20" s="36"/>
      <c r="F20" s="34"/>
    </row>
    <row r="21" spans="1:6" ht="19.5" customHeight="1">
      <c r="A21" s="34"/>
      <c r="B21" s="34"/>
      <c r="C21" s="34"/>
      <c r="D21" s="34"/>
      <c r="E21" s="35"/>
      <c r="F21" s="34"/>
    </row>
    <row r="22" spans="1:6" ht="19.5" customHeight="1">
      <c r="A22" s="34"/>
      <c r="B22" s="34"/>
      <c r="C22" s="34"/>
      <c r="D22" s="34"/>
      <c r="E22" s="36"/>
      <c r="F22" s="34"/>
    </row>
    <row r="23" spans="1:6" ht="19.5" customHeight="1">
      <c r="A23" s="37" t="s">
        <v>46</v>
      </c>
      <c r="B23" s="38"/>
      <c r="C23" s="38"/>
      <c r="D23" s="38"/>
      <c r="E23" s="39">
        <f>SUM(E19:E22)</f>
        <v>40</v>
      </c>
      <c r="F23" s="38"/>
    </row>
    <row r="25" spans="1:6" ht="21.75" customHeight="1">
      <c r="A25" s="73" t="s">
        <v>47</v>
      </c>
      <c r="B25" s="73"/>
      <c r="C25" s="73"/>
      <c r="D25" s="73"/>
      <c r="E25" s="73"/>
      <c r="F25" s="73"/>
    </row>
    <row r="26" spans="1:6" ht="19.5" customHeight="1">
      <c r="A26" s="34"/>
      <c r="B26" s="34"/>
      <c r="C26" s="34"/>
      <c r="D26" s="34"/>
      <c r="E26" s="35"/>
      <c r="F26" s="34"/>
    </row>
    <row r="27" spans="1:6" ht="19.5" customHeight="1">
      <c r="A27" s="34"/>
      <c r="B27" s="34"/>
      <c r="C27" s="34"/>
      <c r="D27" s="34"/>
      <c r="E27" s="36"/>
      <c r="F27" s="34"/>
    </row>
    <row r="28" spans="1:6" ht="19.5" customHeight="1">
      <c r="A28" s="34"/>
      <c r="B28" s="34"/>
      <c r="C28" s="34"/>
      <c r="D28" s="34"/>
      <c r="E28" s="35"/>
      <c r="F28" s="34"/>
    </row>
    <row r="29" spans="1:6" ht="19.5" customHeight="1">
      <c r="A29" s="34"/>
      <c r="B29" s="34"/>
      <c r="C29" s="34"/>
      <c r="D29" s="34"/>
      <c r="E29" s="36"/>
      <c r="F29" s="34"/>
    </row>
    <row r="30" spans="1:6" ht="19.5" customHeight="1">
      <c r="A30" s="37" t="s">
        <v>48</v>
      </c>
      <c r="B30" s="38"/>
      <c r="C30" s="38"/>
      <c r="D30" s="38"/>
      <c r="E30" s="39">
        <f>SUM(E26:E29)</f>
        <v>0</v>
      </c>
      <c r="F30" s="38"/>
    </row>
    <row r="32" spans="1:6" ht="21.75" customHeight="1">
      <c r="A32" s="73" t="s">
        <v>49</v>
      </c>
      <c r="B32" s="73"/>
      <c r="C32" s="73"/>
      <c r="D32" s="73"/>
      <c r="E32" s="73"/>
      <c r="F32" s="73"/>
    </row>
    <row r="33" spans="1:6" ht="19.5" customHeight="1">
      <c r="A33" s="34"/>
      <c r="B33" s="34"/>
      <c r="C33" s="34"/>
      <c r="D33" s="34"/>
      <c r="E33" s="35"/>
      <c r="F33" s="34"/>
    </row>
    <row r="34" spans="1:6" ht="19.5" customHeight="1">
      <c r="A34" s="34"/>
      <c r="B34" s="34"/>
      <c r="C34" s="34"/>
      <c r="D34" s="34"/>
      <c r="E34" s="36"/>
      <c r="F34" s="34"/>
    </row>
    <row r="35" spans="1:6" ht="19.5" customHeight="1">
      <c r="A35" s="34"/>
      <c r="B35" s="34"/>
      <c r="C35" s="34"/>
      <c r="D35" s="34"/>
      <c r="E35" s="35"/>
      <c r="F35" s="34"/>
    </row>
    <row r="36" spans="1:6" ht="19.5" customHeight="1">
      <c r="A36" s="34"/>
      <c r="B36" s="34"/>
      <c r="C36" s="34"/>
      <c r="D36" s="34"/>
      <c r="E36" s="36"/>
      <c r="F36" s="34"/>
    </row>
    <row r="37" spans="1:6" ht="19.5" customHeight="1">
      <c r="A37" s="37" t="s">
        <v>50</v>
      </c>
      <c r="B37" s="38"/>
      <c r="C37" s="38"/>
      <c r="D37" s="38"/>
      <c r="E37" s="39">
        <f>SUM(E33:E36)</f>
        <v>0</v>
      </c>
      <c r="F37" s="38"/>
    </row>
    <row r="39" spans="1:6" ht="30" customHeight="1">
      <c r="A39" s="74" t="s">
        <v>51</v>
      </c>
      <c r="B39" s="74"/>
      <c r="C39" s="74"/>
      <c r="D39" s="74"/>
      <c r="E39" s="41">
        <f>E8+E14+E20+E26+E32</f>
        <v>0</v>
      </c>
      <c r="F39" s="42"/>
    </row>
  </sheetData>
  <mergeCells count="8">
    <mergeCell ref="A25:F25"/>
    <mergeCell ref="A32:F32"/>
    <mergeCell ref="A39:D39"/>
    <mergeCell ref="A1:F1"/>
    <mergeCell ref="A2:F2"/>
    <mergeCell ref="A4:F4"/>
    <mergeCell ref="A11:F11"/>
    <mergeCell ref="A18:F18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2E7D52"/>
  </sheetPr>
  <dimension ref="A1:P20"/>
  <sheetViews>
    <sheetView showGridLines="0" tabSelected="1" zoomScale="123" zoomScaleNormal="123" workbookViewId="0">
      <pane xSplit="2" ySplit="2" topLeftCell="C8" activePane="bottomRight" state="frozen"/>
      <selection pane="topRight" activeCell="D1" sqref="D1"/>
      <selection pane="bottomLeft" activeCell="A4" sqref="A4"/>
      <selection pane="bottomRight" activeCell="C14" sqref="C14"/>
    </sheetView>
  </sheetViews>
  <sheetFormatPr baseColWidth="10" defaultColWidth="8.6640625" defaultRowHeight="14.4"/>
  <cols>
    <col min="1" max="1" width="34" customWidth="1"/>
    <col min="2" max="2" width="12" customWidth="1"/>
    <col min="3" max="14" width="10" customWidth="1"/>
    <col min="15" max="15" width="12" customWidth="1"/>
  </cols>
  <sheetData>
    <row r="1" spans="1:16" ht="36" customHeight="1">
      <c r="A1" s="76" t="s">
        <v>52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</row>
    <row r="2" spans="1:16" ht="21.75" customHeight="1">
      <c r="A2" s="77" t="s">
        <v>53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</row>
    <row r="3" spans="1:16" ht="14.25" customHeight="1">
      <c r="A3" s="43" t="s">
        <v>5</v>
      </c>
      <c r="B3" s="44" t="s">
        <v>54</v>
      </c>
      <c r="C3" s="45" t="s">
        <v>55</v>
      </c>
      <c r="D3" s="45" t="s">
        <v>56</v>
      </c>
      <c r="E3" s="45" t="s">
        <v>57</v>
      </c>
      <c r="F3" s="45" t="s">
        <v>58</v>
      </c>
      <c r="G3" s="45" t="s">
        <v>59</v>
      </c>
      <c r="H3" s="45" t="s">
        <v>60</v>
      </c>
      <c r="I3" s="45" t="s">
        <v>61</v>
      </c>
      <c r="J3" s="45" t="s">
        <v>62</v>
      </c>
      <c r="K3" s="45" t="s">
        <v>63</v>
      </c>
      <c r="L3" s="45" t="s">
        <v>64</v>
      </c>
      <c r="M3" s="45" t="s">
        <v>65</v>
      </c>
      <c r="N3" s="45" t="s">
        <v>66</v>
      </c>
      <c r="O3" s="43" t="s">
        <v>67</v>
      </c>
    </row>
    <row r="4" spans="1:16" ht="19.5" customHeight="1">
      <c r="A4" s="46" t="s">
        <v>11</v>
      </c>
      <c r="B4" s="47">
        <v>0</v>
      </c>
      <c r="C4" s="48">
        <v>0</v>
      </c>
      <c r="D4" s="48">
        <v>0</v>
      </c>
      <c r="E4" s="48">
        <v>0</v>
      </c>
      <c r="F4" s="48">
        <v>0</v>
      </c>
      <c r="G4" s="48">
        <v>14</v>
      </c>
      <c r="H4" s="48">
        <v>18</v>
      </c>
      <c r="I4" s="48">
        <v>16</v>
      </c>
      <c r="J4" s="48">
        <v>20</v>
      </c>
      <c r="K4" s="48">
        <v>12</v>
      </c>
      <c r="L4" s="48">
        <v>10</v>
      </c>
      <c r="M4" s="48">
        <v>5</v>
      </c>
      <c r="N4" s="48">
        <v>0</v>
      </c>
      <c r="O4" s="49">
        <f t="shared" ref="O4:O9" si="0">IF(B4=0,0,SUM(C4:N4)/B4)</f>
        <v>0</v>
      </c>
    </row>
    <row r="5" spans="1:16" ht="19.5" customHeight="1">
      <c r="A5" s="50" t="s">
        <v>13</v>
      </c>
      <c r="B5" s="51">
        <f>'OBJETIVOS COMERCIALES'!B5</f>
        <v>0</v>
      </c>
      <c r="C5" s="48">
        <v>0</v>
      </c>
      <c r="D5" s="48">
        <v>0</v>
      </c>
      <c r="E5" s="48">
        <v>0</v>
      </c>
      <c r="F5" s="48">
        <v>0</v>
      </c>
      <c r="G5" s="48">
        <v>7</v>
      </c>
      <c r="H5" s="48">
        <v>9</v>
      </c>
      <c r="I5" s="48">
        <v>8</v>
      </c>
      <c r="J5" s="48">
        <v>10</v>
      </c>
      <c r="K5" s="48">
        <v>6</v>
      </c>
      <c r="L5" s="48">
        <v>5</v>
      </c>
      <c r="M5" s="48">
        <v>3</v>
      </c>
      <c r="N5" s="48">
        <v>0</v>
      </c>
      <c r="O5" s="52">
        <f t="shared" si="0"/>
        <v>0</v>
      </c>
    </row>
    <row r="6" spans="1:16" ht="19.5" customHeight="1">
      <c r="A6" s="46" t="s">
        <v>15</v>
      </c>
      <c r="B6" s="47">
        <v>120</v>
      </c>
      <c r="C6" s="48">
        <v>20</v>
      </c>
      <c r="D6" s="48">
        <v>10</v>
      </c>
      <c r="E6" s="48">
        <v>30</v>
      </c>
      <c r="F6" s="48">
        <v>35</v>
      </c>
      <c r="G6" s="48">
        <v>28</v>
      </c>
      <c r="H6" s="48">
        <v>32</v>
      </c>
      <c r="I6" s="48">
        <v>40</v>
      </c>
      <c r="J6" s="48">
        <v>38</v>
      </c>
      <c r="K6" s="48">
        <v>35</v>
      </c>
      <c r="L6" s="48">
        <v>30</v>
      </c>
      <c r="M6" s="48">
        <v>20</v>
      </c>
      <c r="N6" s="48">
        <v>0</v>
      </c>
      <c r="O6" s="49">
        <f t="shared" si="0"/>
        <v>2.65</v>
      </c>
    </row>
    <row r="7" spans="1:16" ht="19.5" customHeight="1">
      <c r="A7" s="50" t="s">
        <v>17</v>
      </c>
      <c r="B7" s="51">
        <v>200</v>
      </c>
      <c r="C7" s="48">
        <v>5</v>
      </c>
      <c r="D7" s="48">
        <v>8</v>
      </c>
      <c r="E7" s="48">
        <v>8</v>
      </c>
      <c r="F7" s="48">
        <v>10</v>
      </c>
      <c r="G7" s="48">
        <v>9</v>
      </c>
      <c r="H7" s="48">
        <v>11</v>
      </c>
      <c r="I7" s="48">
        <v>10</v>
      </c>
      <c r="J7" s="48">
        <v>12</v>
      </c>
      <c r="K7" s="48">
        <v>8</v>
      </c>
      <c r="L7" s="48">
        <v>7</v>
      </c>
      <c r="M7" s="48">
        <v>5</v>
      </c>
      <c r="N7" s="48">
        <v>0</v>
      </c>
      <c r="O7" s="52">
        <f t="shared" si="0"/>
        <v>0.46500000000000002</v>
      </c>
    </row>
    <row r="8" spans="1:16" ht="19.5" customHeight="1">
      <c r="A8" s="46" t="s">
        <v>19</v>
      </c>
      <c r="B8" s="47">
        <f>'OBJETIVOS COMERCIALES'!B8</f>
        <v>0</v>
      </c>
      <c r="C8" s="48">
        <v>0</v>
      </c>
      <c r="D8" s="48">
        <v>0</v>
      </c>
      <c r="E8" s="48">
        <v>0</v>
      </c>
      <c r="F8" s="48">
        <v>0</v>
      </c>
      <c r="G8" s="48">
        <v>0</v>
      </c>
      <c r="H8" s="48">
        <v>0</v>
      </c>
      <c r="I8" s="48">
        <v>0</v>
      </c>
      <c r="J8" s="48">
        <v>0</v>
      </c>
      <c r="K8" s="48">
        <v>0</v>
      </c>
      <c r="L8" s="48">
        <v>0</v>
      </c>
      <c r="M8" s="48">
        <v>0</v>
      </c>
      <c r="N8" s="48">
        <v>0</v>
      </c>
      <c r="O8" s="49">
        <f t="shared" si="0"/>
        <v>0</v>
      </c>
    </row>
    <row r="9" spans="1:16" ht="24" customHeight="1">
      <c r="A9" s="53" t="s">
        <v>68</v>
      </c>
      <c r="B9" s="54">
        <f t="shared" ref="B9:N9" si="1">SUM(B4:B8)</f>
        <v>320</v>
      </c>
      <c r="C9" s="54">
        <f t="shared" si="1"/>
        <v>25</v>
      </c>
      <c r="D9" s="54">
        <f t="shared" si="1"/>
        <v>18</v>
      </c>
      <c r="E9" s="54">
        <f t="shared" si="1"/>
        <v>38</v>
      </c>
      <c r="F9" s="54">
        <f t="shared" si="1"/>
        <v>45</v>
      </c>
      <c r="G9" s="54">
        <f t="shared" si="1"/>
        <v>58</v>
      </c>
      <c r="H9" s="54">
        <f t="shared" si="1"/>
        <v>70</v>
      </c>
      <c r="I9" s="54">
        <f t="shared" si="1"/>
        <v>74</v>
      </c>
      <c r="J9" s="54">
        <f t="shared" si="1"/>
        <v>80</v>
      </c>
      <c r="K9" s="54">
        <f t="shared" si="1"/>
        <v>61</v>
      </c>
      <c r="L9" s="54">
        <f t="shared" si="1"/>
        <v>52</v>
      </c>
      <c r="M9" s="54">
        <f t="shared" si="1"/>
        <v>33</v>
      </c>
      <c r="N9" s="54">
        <f t="shared" si="1"/>
        <v>0</v>
      </c>
      <c r="O9" s="55">
        <f t="shared" si="0"/>
        <v>1.73125</v>
      </c>
    </row>
    <row r="11" spans="1:16" ht="21.75" customHeight="1">
      <c r="A11" s="77" t="s">
        <v>69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</row>
    <row r="12" spans="1:16" ht="14.25" customHeight="1">
      <c r="A12" s="43" t="s">
        <v>5</v>
      </c>
      <c r="B12" s="44" t="s">
        <v>54</v>
      </c>
      <c r="C12" s="45" t="s">
        <v>55</v>
      </c>
      <c r="D12" s="45" t="s">
        <v>56</v>
      </c>
      <c r="E12" s="45" t="s">
        <v>57</v>
      </c>
      <c r="F12" s="45" t="s">
        <v>58</v>
      </c>
      <c r="G12" s="45" t="s">
        <v>59</v>
      </c>
      <c r="H12" s="45" t="s">
        <v>60</v>
      </c>
      <c r="I12" s="45" t="s">
        <v>61</v>
      </c>
      <c r="J12" s="45" t="s">
        <v>62</v>
      </c>
      <c r="K12" s="45" t="s">
        <v>63</v>
      </c>
      <c r="L12" s="45" t="s">
        <v>64</v>
      </c>
      <c r="M12" s="45" t="s">
        <v>65</v>
      </c>
      <c r="N12" s="45" t="s">
        <v>66</v>
      </c>
      <c r="O12" s="43" t="s">
        <v>67</v>
      </c>
    </row>
    <row r="13" spans="1:16" ht="19.5" customHeight="1">
      <c r="A13" s="46" t="s">
        <v>11</v>
      </c>
      <c r="B13" s="47">
        <f>'OBJETIVOS COMERCIALES'!B4</f>
        <v>0</v>
      </c>
      <c r="C13" s="48">
        <v>50</v>
      </c>
      <c r="D13" s="48">
        <v>70</v>
      </c>
      <c r="E13" s="48">
        <v>80</v>
      </c>
      <c r="F13" s="48">
        <v>90</v>
      </c>
      <c r="G13" s="48">
        <v>85</v>
      </c>
      <c r="H13" s="48">
        <v>100</v>
      </c>
      <c r="I13" s="48">
        <v>95</v>
      </c>
      <c r="J13" s="48">
        <v>110</v>
      </c>
      <c r="K13" s="48">
        <v>70</v>
      </c>
      <c r="L13" s="48">
        <v>65</v>
      </c>
      <c r="M13" s="48">
        <v>0</v>
      </c>
      <c r="N13" s="48">
        <v>0</v>
      </c>
      <c r="O13" s="49">
        <f t="shared" ref="O13:O18" si="2">IF(B13=0,0,SUM(C13:N13)/B13)</f>
        <v>0</v>
      </c>
    </row>
    <row r="14" spans="1:16" ht="19.5" customHeight="1">
      <c r="A14" s="50" t="s">
        <v>13</v>
      </c>
      <c r="B14" s="51">
        <f>'OBJETIVOS COMERCIALES'!B5</f>
        <v>0</v>
      </c>
      <c r="C14" s="48">
        <v>30</v>
      </c>
      <c r="D14" s="48">
        <v>40</v>
      </c>
      <c r="E14" s="48">
        <v>50</v>
      </c>
      <c r="F14" s="48">
        <v>55</v>
      </c>
      <c r="G14" s="48">
        <v>48</v>
      </c>
      <c r="H14" s="48">
        <v>60</v>
      </c>
      <c r="I14" s="48">
        <v>55</v>
      </c>
      <c r="J14" s="48">
        <v>70</v>
      </c>
      <c r="K14" s="48">
        <v>45</v>
      </c>
      <c r="L14" s="48">
        <v>40</v>
      </c>
      <c r="M14" s="48">
        <v>0</v>
      </c>
      <c r="N14" s="48">
        <v>0</v>
      </c>
      <c r="O14" s="52">
        <f t="shared" si="2"/>
        <v>0</v>
      </c>
    </row>
    <row r="15" spans="1:16" ht="19.5" customHeight="1">
      <c r="A15" s="46" t="s">
        <v>15</v>
      </c>
      <c r="B15" s="47">
        <v>12000</v>
      </c>
      <c r="C15" s="48">
        <v>300</v>
      </c>
      <c r="D15" s="48">
        <v>350</v>
      </c>
      <c r="E15" s="48">
        <v>400</v>
      </c>
      <c r="F15" s="48">
        <v>450</v>
      </c>
      <c r="G15" s="48">
        <v>380</v>
      </c>
      <c r="H15" s="48">
        <v>420</v>
      </c>
      <c r="I15" s="48">
        <v>500</v>
      </c>
      <c r="J15" s="48">
        <v>480</v>
      </c>
      <c r="K15" s="48">
        <v>430</v>
      </c>
      <c r="L15" s="48">
        <v>390</v>
      </c>
      <c r="M15" s="48">
        <v>270</v>
      </c>
      <c r="N15" s="48">
        <v>0</v>
      </c>
      <c r="O15" s="49">
        <f t="shared" si="2"/>
        <v>0.36416666666666669</v>
      </c>
    </row>
    <row r="16" spans="1:16" ht="19.5" customHeight="1">
      <c r="A16" s="50" t="s">
        <v>17</v>
      </c>
      <c r="B16" s="51">
        <v>10000</v>
      </c>
      <c r="C16" s="48">
        <v>20</v>
      </c>
      <c r="D16" s="48">
        <v>30</v>
      </c>
      <c r="E16" s="48">
        <v>30</v>
      </c>
      <c r="F16" s="48">
        <v>40</v>
      </c>
      <c r="G16" s="48">
        <v>35</v>
      </c>
      <c r="H16" s="48">
        <v>45</v>
      </c>
      <c r="I16" s="48">
        <v>40</v>
      </c>
      <c r="J16" s="48">
        <v>50</v>
      </c>
      <c r="K16" s="48">
        <v>30</v>
      </c>
      <c r="L16" s="48">
        <v>28</v>
      </c>
      <c r="M16" s="48">
        <v>22</v>
      </c>
      <c r="N16" s="48">
        <v>0</v>
      </c>
      <c r="O16" s="52">
        <f t="shared" si="2"/>
        <v>3.6999999999999998E-2</v>
      </c>
    </row>
    <row r="17" spans="1:15" ht="19.5" customHeight="1">
      <c r="A17" s="46" t="s">
        <v>19</v>
      </c>
      <c r="B17" s="47">
        <f>'OBJETIVOS COMERCIALES'!B8</f>
        <v>0</v>
      </c>
      <c r="C17" s="48">
        <v>0</v>
      </c>
      <c r="D17" s="48">
        <v>0</v>
      </c>
      <c r="E17" s="48">
        <v>0</v>
      </c>
      <c r="F17" s="48">
        <v>0</v>
      </c>
      <c r="G17" s="48">
        <v>0</v>
      </c>
      <c r="H17" s="48">
        <v>0</v>
      </c>
      <c r="I17" s="48">
        <v>0</v>
      </c>
      <c r="J17" s="48">
        <v>0</v>
      </c>
      <c r="K17" s="48">
        <v>0</v>
      </c>
      <c r="L17" s="48">
        <v>0</v>
      </c>
      <c r="M17" s="48">
        <v>0</v>
      </c>
      <c r="N17" s="48">
        <v>0</v>
      </c>
      <c r="O17" s="49">
        <f t="shared" si="2"/>
        <v>0</v>
      </c>
    </row>
    <row r="18" spans="1:15" ht="24" customHeight="1">
      <c r="A18" s="53" t="s">
        <v>68</v>
      </c>
      <c r="B18" s="54">
        <f t="shared" ref="B18:N18" si="3">SUM(B13:B17)</f>
        <v>22000</v>
      </c>
      <c r="C18" s="54">
        <f t="shared" si="3"/>
        <v>400</v>
      </c>
      <c r="D18" s="54">
        <f t="shared" si="3"/>
        <v>490</v>
      </c>
      <c r="E18" s="54">
        <f t="shared" si="3"/>
        <v>560</v>
      </c>
      <c r="F18" s="54">
        <f t="shared" si="3"/>
        <v>635</v>
      </c>
      <c r="G18" s="54">
        <f t="shared" si="3"/>
        <v>548</v>
      </c>
      <c r="H18" s="54">
        <f t="shared" si="3"/>
        <v>625</v>
      </c>
      <c r="I18" s="54">
        <f t="shared" si="3"/>
        <v>690</v>
      </c>
      <c r="J18" s="54">
        <f t="shared" si="3"/>
        <v>710</v>
      </c>
      <c r="K18" s="54">
        <f t="shared" si="3"/>
        <v>575</v>
      </c>
      <c r="L18" s="54">
        <f t="shared" si="3"/>
        <v>523</v>
      </c>
      <c r="M18" s="54">
        <f t="shared" si="3"/>
        <v>292</v>
      </c>
      <c r="N18" s="54">
        <f t="shared" si="3"/>
        <v>0</v>
      </c>
      <c r="O18" s="55">
        <f t="shared" si="2"/>
        <v>0.27490909090909094</v>
      </c>
    </row>
    <row r="20" spans="1:15" ht="14.25" customHeight="1">
      <c r="A20" s="78" t="s">
        <v>70</v>
      </c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</row>
  </sheetData>
  <mergeCells count="4">
    <mergeCell ref="A1:P1"/>
    <mergeCell ref="A2:O2"/>
    <mergeCell ref="A11:O11"/>
    <mergeCell ref="A20:O20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8B0000"/>
  </sheetPr>
  <dimension ref="A1:AE125"/>
  <sheetViews>
    <sheetView showGridLines="0" zoomScale="73" zoomScaleNormal="100" workbookViewId="0">
      <selection activeCell="A4" sqref="A4:D4"/>
    </sheetView>
  </sheetViews>
  <sheetFormatPr baseColWidth="10" defaultColWidth="8.6640625" defaultRowHeight="14.4"/>
  <cols>
    <col min="1" max="1" width="22" customWidth="1"/>
    <col min="2" max="29" width="10" customWidth="1"/>
  </cols>
  <sheetData>
    <row r="1" spans="1:26" ht="43.5" customHeight="1">
      <c r="A1" s="79" t="s">
        <v>71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</row>
    <row r="2" spans="1:26" ht="15.75" customHeight="1">
      <c r="A2" s="75" t="s">
        <v>72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</row>
    <row r="3" spans="1:26" ht="21.75" customHeight="1">
      <c r="A3" s="80" t="s">
        <v>73</v>
      </c>
      <c r="B3" s="80"/>
      <c r="C3" s="80"/>
      <c r="D3" s="80"/>
      <c r="E3" s="80" t="s">
        <v>74</v>
      </c>
      <c r="F3" s="80"/>
      <c r="G3" s="80"/>
      <c r="H3" s="80"/>
      <c r="I3" s="80" t="s">
        <v>75</v>
      </c>
      <c r="J3" s="80"/>
      <c r="K3" s="80"/>
      <c r="L3" s="80"/>
      <c r="M3" s="80" t="s">
        <v>76</v>
      </c>
      <c r="N3" s="80"/>
      <c r="O3" s="80"/>
      <c r="P3" s="80"/>
      <c r="Q3" s="80" t="s">
        <v>77</v>
      </c>
      <c r="R3" s="80"/>
      <c r="S3" s="80"/>
      <c r="T3" s="80"/>
      <c r="U3" s="80" t="s">
        <v>78</v>
      </c>
      <c r="V3" s="80"/>
      <c r="W3" s="80"/>
      <c r="X3" s="80"/>
    </row>
    <row r="4" spans="1:26" ht="37.5" customHeight="1">
      <c r="A4" s="82">
        <f>'OBJETIVOS COMERCIALES'!B9</f>
        <v>320</v>
      </c>
      <c r="B4" s="82"/>
      <c r="C4" s="82"/>
      <c r="D4" s="82"/>
      <c r="E4" s="82">
        <f>'OBJETIVOS COMERCIALES'!E9</f>
        <v>22000</v>
      </c>
      <c r="F4" s="82"/>
      <c r="G4" s="82"/>
      <c r="H4" s="82"/>
      <c r="I4" s="83">
        <f>'OBJETIVOS COMERCIALES'!G9</f>
        <v>270000</v>
      </c>
      <c r="J4" s="83"/>
      <c r="K4" s="83"/>
      <c r="L4" s="83"/>
      <c r="M4" s="84">
        <f>'OBJETIVOS COMERCIALES'!D9</f>
        <v>6.0000000000000001E-3</v>
      </c>
      <c r="N4" s="84"/>
      <c r="O4" s="84"/>
      <c r="P4" s="84"/>
      <c r="Q4" s="81">
        <f>IFERROR(CURVAS!O9,0)</f>
        <v>1.73125</v>
      </c>
      <c r="R4" s="81"/>
      <c r="S4" s="81"/>
      <c r="T4" s="81"/>
      <c r="U4" s="81">
        <f>IFERROR(CURVAS!O18,0)</f>
        <v>0.27490909090909094</v>
      </c>
      <c r="V4" s="81"/>
      <c r="W4" s="81"/>
      <c r="X4" s="81"/>
    </row>
    <row r="42" spans="1:12" ht="25.5" customHeight="1">
      <c r="A42" s="74" t="s">
        <v>79</v>
      </c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</row>
    <row r="43" spans="1:12" ht="27.75" customHeight="1">
      <c r="A43" s="56" t="s">
        <v>5</v>
      </c>
      <c r="B43" s="56" t="s">
        <v>80</v>
      </c>
      <c r="C43" s="56" t="s">
        <v>81</v>
      </c>
      <c r="D43" s="56" t="s">
        <v>82</v>
      </c>
      <c r="E43" s="56" t="s">
        <v>83</v>
      </c>
      <c r="F43" s="56" t="s">
        <v>84</v>
      </c>
      <c r="G43" s="56" t="s">
        <v>85</v>
      </c>
    </row>
    <row r="44" spans="1:12" ht="21.75" customHeight="1">
      <c r="A44" s="16" t="s">
        <v>86</v>
      </c>
      <c r="B44" s="20">
        <f>'OBJETIVOS COMERCIALES'!B4</f>
        <v>0</v>
      </c>
      <c r="C44" s="20">
        <f>SUM(CURVAS!C4:N4)</f>
        <v>95</v>
      </c>
      <c r="D44" s="18">
        <f t="shared" ref="D44:D49" si="0">IFERROR(C44/B44,0)</f>
        <v>0</v>
      </c>
      <c r="E44" s="20">
        <f>'OBJETIVOS COMERCIALES'!E4</f>
        <v>0</v>
      </c>
      <c r="F44" s="20">
        <f>SUM(CURVAS!C13:N13)</f>
        <v>815</v>
      </c>
      <c r="G44" s="18">
        <f t="shared" ref="G44:G49" si="1">IFERROR(F44/E44,0)</f>
        <v>0</v>
      </c>
    </row>
    <row r="45" spans="1:12" ht="21.75" customHeight="1">
      <c r="A45" s="24" t="s">
        <v>87</v>
      </c>
      <c r="B45" s="26">
        <f>'OBJETIVOS COMERCIALES'!B5</f>
        <v>0</v>
      </c>
      <c r="C45" s="26">
        <f>SUM(CURVAS!C5:N5)</f>
        <v>48</v>
      </c>
      <c r="D45" s="25">
        <f t="shared" si="0"/>
        <v>0</v>
      </c>
      <c r="E45" s="26">
        <f>'OBJETIVOS COMERCIALES'!E5</f>
        <v>0</v>
      </c>
      <c r="F45" s="26">
        <f>SUM(CURVAS!C14:N14)</f>
        <v>493</v>
      </c>
      <c r="G45" s="25">
        <f t="shared" si="1"/>
        <v>0</v>
      </c>
    </row>
    <row r="46" spans="1:12" ht="21.75" customHeight="1">
      <c r="A46" s="16" t="s">
        <v>15</v>
      </c>
      <c r="B46" s="20">
        <f>'OBJETIVOS COMERCIALES'!B6</f>
        <v>120</v>
      </c>
      <c r="C46" s="20">
        <f>SUM(CURVAS!C6:N6)</f>
        <v>318</v>
      </c>
      <c r="D46" s="18">
        <f t="shared" si="0"/>
        <v>2.65</v>
      </c>
      <c r="E46" s="20">
        <f>'OBJETIVOS COMERCIALES'!E6</f>
        <v>12000</v>
      </c>
      <c r="F46" s="20">
        <f>SUM(CURVAS!C15:N15)</f>
        <v>4370</v>
      </c>
      <c r="G46" s="18">
        <f t="shared" si="1"/>
        <v>0.36416666666666669</v>
      </c>
    </row>
    <row r="47" spans="1:12" ht="21.75" customHeight="1">
      <c r="A47" s="24" t="s">
        <v>17</v>
      </c>
      <c r="B47" s="26">
        <f>'OBJETIVOS COMERCIALES'!B7</f>
        <v>200</v>
      </c>
      <c r="C47" s="26">
        <f>SUM(CURVAS!C7:N7)</f>
        <v>93</v>
      </c>
      <c r="D47" s="25">
        <f t="shared" si="0"/>
        <v>0.46500000000000002</v>
      </c>
      <c r="E47" s="26">
        <f>'OBJETIVOS COMERCIALES'!E7</f>
        <v>10000</v>
      </c>
      <c r="F47" s="26">
        <f>SUM(CURVAS!C16:N16)</f>
        <v>370</v>
      </c>
      <c r="G47" s="25">
        <f t="shared" si="1"/>
        <v>3.6999999999999998E-2</v>
      </c>
    </row>
    <row r="48" spans="1:12" ht="21.75" customHeight="1">
      <c r="A48" s="16" t="s">
        <v>19</v>
      </c>
      <c r="B48" s="20">
        <f>'OBJETIVOS COMERCIALES'!B8</f>
        <v>0</v>
      </c>
      <c r="C48" s="20">
        <f>SUM(CURVAS!C8:N8)</f>
        <v>0</v>
      </c>
      <c r="D48" s="18">
        <f t="shared" si="0"/>
        <v>0</v>
      </c>
      <c r="E48" s="20">
        <f>'OBJETIVOS COMERCIALES'!E8</f>
        <v>0</v>
      </c>
      <c r="F48" s="20">
        <f>SUM(CURVAS!C17:N17)</f>
        <v>0</v>
      </c>
      <c r="G48" s="18">
        <f t="shared" si="1"/>
        <v>0</v>
      </c>
    </row>
    <row r="49" spans="1:29" ht="25.5" customHeight="1">
      <c r="A49" s="53" t="s">
        <v>20</v>
      </c>
      <c r="B49" s="39">
        <f>SUM(B44:B48)</f>
        <v>320</v>
      </c>
      <c r="C49" s="39">
        <f>SUM(C44:C48)</f>
        <v>554</v>
      </c>
      <c r="D49" s="57">
        <f t="shared" si="0"/>
        <v>1.73125</v>
      </c>
      <c r="E49" s="39">
        <f>SUM(E44:E48)</f>
        <v>22000</v>
      </c>
      <c r="F49" s="39">
        <f>SUM(F44:F48)</f>
        <v>6048</v>
      </c>
      <c r="G49" s="57">
        <f t="shared" si="1"/>
        <v>0.27490909090909094</v>
      </c>
    </row>
    <row r="50" spans="1:29" ht="24" customHeight="1">
      <c r="A50" s="78" t="s">
        <v>88</v>
      </c>
      <c r="B50" s="78"/>
      <c r="C50" s="78"/>
      <c r="D50" s="78"/>
      <c r="E50" s="78"/>
      <c r="F50" s="78"/>
      <c r="G50" s="78"/>
      <c r="H50" s="78"/>
      <c r="I50" s="78"/>
      <c r="J50" s="78"/>
      <c r="K50" s="78"/>
      <c r="L50" s="78"/>
    </row>
    <row r="60" spans="1:29" ht="15" customHeight="1">
      <c r="AB60" s="58" t="s">
        <v>5</v>
      </c>
      <c r="AC60" s="58" t="s">
        <v>7</v>
      </c>
    </row>
    <row r="61" spans="1:29" ht="15" customHeight="1">
      <c r="AB61" t="s">
        <v>86</v>
      </c>
      <c r="AC61" s="59">
        <f>'OBJETIVOS COMERCIALES'!C4</f>
        <v>0</v>
      </c>
    </row>
    <row r="62" spans="1:29" ht="15" customHeight="1">
      <c r="AB62" t="s">
        <v>87</v>
      </c>
      <c r="AC62" s="59">
        <f>'OBJETIVOS COMERCIALES'!C5</f>
        <v>0</v>
      </c>
    </row>
    <row r="63" spans="1:29" ht="15" customHeight="1">
      <c r="AB63" t="s">
        <v>15</v>
      </c>
      <c r="AC63" s="59">
        <f>'OBJETIVOS COMERCIALES'!C6</f>
        <v>0.375</v>
      </c>
    </row>
    <row r="64" spans="1:29" ht="15" customHeight="1">
      <c r="AB64" t="s">
        <v>17</v>
      </c>
      <c r="AC64" s="59">
        <f>'OBJETIVOS COMERCIALES'!C7</f>
        <v>0.625</v>
      </c>
    </row>
    <row r="65" spans="28:30" ht="15" customHeight="1">
      <c r="AB65" t="s">
        <v>19</v>
      </c>
      <c r="AC65" s="59">
        <f>'OBJETIVOS COMERCIALES'!C8</f>
        <v>0</v>
      </c>
    </row>
    <row r="75" spans="28:30" ht="15" customHeight="1">
      <c r="AB75" s="58" t="s">
        <v>89</v>
      </c>
      <c r="AC75" s="58" t="s">
        <v>90</v>
      </c>
      <c r="AD75" s="58" t="s">
        <v>91</v>
      </c>
    </row>
    <row r="76" spans="28:30" ht="15" customHeight="1">
      <c r="AB76" t="s">
        <v>55</v>
      </c>
      <c r="AC76" s="60">
        <f>CURVAS!C9</f>
        <v>25</v>
      </c>
      <c r="AD76">
        <f>'OBJETIVOS COMERCIALES'!B9/12*1</f>
        <v>26.666666666666668</v>
      </c>
    </row>
    <row r="77" spans="28:30" ht="15" customHeight="1">
      <c r="AB77" t="s">
        <v>56</v>
      </c>
      <c r="AC77">
        <f>CURVAS!C9+CURVAS!D9</f>
        <v>43</v>
      </c>
      <c r="AD77">
        <f>'OBJETIVOS COMERCIALES'!B9/12*2</f>
        <v>53.333333333333336</v>
      </c>
    </row>
    <row r="78" spans="28:30" ht="15" customHeight="1">
      <c r="AB78" t="s">
        <v>57</v>
      </c>
      <c r="AC78">
        <f>CURVAS!C9+CURVAS!D9+CURVAS!E9</f>
        <v>81</v>
      </c>
      <c r="AD78">
        <f>'OBJETIVOS COMERCIALES'!B9/12*3</f>
        <v>80</v>
      </c>
    </row>
    <row r="79" spans="28:30" ht="15" customHeight="1">
      <c r="AB79" t="s">
        <v>58</v>
      </c>
      <c r="AC79">
        <f>CURVAS!C9+CURVAS!D9+CURVAS!E9+CURVAS!F9</f>
        <v>126</v>
      </c>
      <c r="AD79">
        <f>'OBJETIVOS COMERCIALES'!B9/12*4</f>
        <v>106.66666666666667</v>
      </c>
    </row>
    <row r="80" spans="28:30" ht="15" customHeight="1">
      <c r="AB80" t="s">
        <v>59</v>
      </c>
      <c r="AC80">
        <f>CURVAS!C9+CURVAS!D9+CURVAS!E9+CURVAS!F9+CURVAS!G9</f>
        <v>184</v>
      </c>
      <c r="AD80">
        <f>'OBJETIVOS COMERCIALES'!B9/12*5</f>
        <v>133.33333333333334</v>
      </c>
    </row>
    <row r="81" spans="28:30" ht="15" customHeight="1">
      <c r="AB81" t="s">
        <v>60</v>
      </c>
      <c r="AC81">
        <f>CURVAS!C9+CURVAS!D9+CURVAS!E9+CURVAS!F9+CURVAS!G9+CURVAS!H9</f>
        <v>254</v>
      </c>
      <c r="AD81">
        <f>'OBJETIVOS COMERCIALES'!B9/12*6</f>
        <v>160</v>
      </c>
    </row>
    <row r="82" spans="28:30" ht="15" customHeight="1">
      <c r="AB82" t="s">
        <v>61</v>
      </c>
      <c r="AC82">
        <f>CURVAS!C9+CURVAS!D9+CURVAS!E9+CURVAS!F9+CURVAS!G9+CURVAS!H9+CURVAS!I9</f>
        <v>328</v>
      </c>
      <c r="AD82">
        <f>'OBJETIVOS COMERCIALES'!B9/12*7</f>
        <v>186.66666666666669</v>
      </c>
    </row>
    <row r="83" spans="28:30" ht="15" customHeight="1">
      <c r="AB83" t="s">
        <v>62</v>
      </c>
      <c r="AC83">
        <f>CURVAS!C9+CURVAS!D9+CURVAS!E9+CURVAS!F9+CURVAS!G9+CURVAS!H9+CURVAS!I9+CURVAS!J9</f>
        <v>408</v>
      </c>
      <c r="AD83">
        <f>'OBJETIVOS COMERCIALES'!B9/12*8</f>
        <v>213.33333333333334</v>
      </c>
    </row>
    <row r="84" spans="28:30" ht="15" customHeight="1">
      <c r="AB84" t="s">
        <v>63</v>
      </c>
      <c r="AC84">
        <f>CURVAS!C9+CURVAS!D9+CURVAS!E9+CURVAS!F9+CURVAS!G9+CURVAS!H9+CURVAS!I9+CURVAS!J9+CURVAS!K9</f>
        <v>469</v>
      </c>
      <c r="AD84">
        <f>'OBJETIVOS COMERCIALES'!B9/12*9</f>
        <v>240</v>
      </c>
    </row>
    <row r="85" spans="28:30" ht="15" customHeight="1">
      <c r="AB85" t="s">
        <v>64</v>
      </c>
      <c r="AC85">
        <f>CURVAS!C9+CURVAS!D9+CURVAS!E9+CURVAS!F9+CURVAS!G9+CURVAS!H9+CURVAS!I9+CURVAS!J9+CURVAS!K9+CURVAS!L9</f>
        <v>521</v>
      </c>
      <c r="AD85">
        <f>'OBJETIVOS COMERCIALES'!B9/12*10</f>
        <v>266.66666666666669</v>
      </c>
    </row>
    <row r="86" spans="28:30" ht="15" customHeight="1">
      <c r="AB86" t="s">
        <v>65</v>
      </c>
      <c r="AC86">
        <f>CURVAS!C9+CURVAS!D9+CURVAS!E9+CURVAS!F9+CURVAS!G9+CURVAS!H9+CURVAS!I9+CURVAS!J9+CURVAS!K9+CURVAS!L9+CURVAS!M9</f>
        <v>554</v>
      </c>
      <c r="AD86">
        <f>'OBJETIVOS COMERCIALES'!B9/12*11</f>
        <v>293.33333333333337</v>
      </c>
    </row>
    <row r="87" spans="28:30" ht="15" customHeight="1">
      <c r="AB87" t="s">
        <v>66</v>
      </c>
      <c r="AC87">
        <f>CURVAS!C9+CURVAS!D9+CURVAS!E9+CURVAS!F9+CURVAS!G9+CURVAS!H9+CURVAS!I9+CURVAS!J9+CURVAS!K9+CURVAS!L9+CURVAS!M9+CURVAS!N9</f>
        <v>554</v>
      </c>
      <c r="AD87">
        <f>'OBJETIVOS COMERCIALES'!B9/12*12</f>
        <v>320</v>
      </c>
    </row>
    <row r="92" spans="28:30" ht="15" customHeight="1">
      <c r="AB92" s="58" t="s">
        <v>89</v>
      </c>
      <c r="AC92" s="58" t="s">
        <v>84</v>
      </c>
      <c r="AD92" s="58" t="s">
        <v>83</v>
      </c>
    </row>
    <row r="93" spans="28:30" ht="15" customHeight="1">
      <c r="AB93" t="s">
        <v>55</v>
      </c>
      <c r="AC93" s="60">
        <f>CURVAS!C18</f>
        <v>400</v>
      </c>
      <c r="AD93">
        <f>'OBJETIVOS COMERCIALES'!E9/12*1</f>
        <v>1833.3333333333333</v>
      </c>
    </row>
    <row r="94" spans="28:30" ht="15" customHeight="1">
      <c r="AB94" t="s">
        <v>56</v>
      </c>
      <c r="AC94">
        <f>CURVAS!C18+CURVAS!D18</f>
        <v>890</v>
      </c>
      <c r="AD94">
        <f>'OBJETIVOS COMERCIALES'!E9/12*2</f>
        <v>3666.6666666666665</v>
      </c>
    </row>
    <row r="95" spans="28:30" ht="15" customHeight="1">
      <c r="AB95" t="s">
        <v>57</v>
      </c>
      <c r="AC95">
        <f>CURVAS!C18+CURVAS!D18+CURVAS!E18</f>
        <v>1450</v>
      </c>
      <c r="AD95">
        <f>'OBJETIVOS COMERCIALES'!E9/12*3</f>
        <v>5500</v>
      </c>
    </row>
    <row r="96" spans="28:30" ht="15" customHeight="1">
      <c r="AB96" t="s">
        <v>58</v>
      </c>
      <c r="AC96">
        <f>CURVAS!C18+CURVAS!D18+CURVAS!E18+CURVAS!F18</f>
        <v>2085</v>
      </c>
      <c r="AD96">
        <f>'OBJETIVOS COMERCIALES'!E9/12*4</f>
        <v>7333.333333333333</v>
      </c>
    </row>
    <row r="97" spans="28:31" ht="15" customHeight="1">
      <c r="AB97" t="s">
        <v>59</v>
      </c>
      <c r="AC97">
        <f>CURVAS!C18+CURVAS!D18+CURVAS!E18+CURVAS!F18+CURVAS!G18</f>
        <v>2633</v>
      </c>
      <c r="AD97">
        <f>'OBJETIVOS COMERCIALES'!E9/12*5</f>
        <v>9166.6666666666661</v>
      </c>
    </row>
    <row r="98" spans="28:31" ht="15" customHeight="1">
      <c r="AB98" t="s">
        <v>60</v>
      </c>
      <c r="AC98">
        <f>CURVAS!C18+CURVAS!D18+CURVAS!E18+CURVAS!F18+CURVAS!G18+CURVAS!H18</f>
        <v>3258</v>
      </c>
      <c r="AD98">
        <f>'OBJETIVOS COMERCIALES'!E9/12*6</f>
        <v>11000</v>
      </c>
    </row>
    <row r="99" spans="28:31" ht="15" customHeight="1">
      <c r="AB99" t="s">
        <v>61</v>
      </c>
      <c r="AC99">
        <f>CURVAS!C18+CURVAS!D18+CURVAS!E18+CURVAS!F18+CURVAS!G18+CURVAS!H18+CURVAS!I18</f>
        <v>3948</v>
      </c>
      <c r="AD99">
        <f>'OBJETIVOS COMERCIALES'!E9/12*7</f>
        <v>12833.333333333332</v>
      </c>
    </row>
    <row r="100" spans="28:31" ht="15" customHeight="1">
      <c r="AB100" t="s">
        <v>62</v>
      </c>
      <c r="AC100">
        <f>CURVAS!C18+CURVAS!D18+CURVAS!E18+CURVAS!F18+CURVAS!G18+CURVAS!H18+CURVAS!I18+CURVAS!J18</f>
        <v>4658</v>
      </c>
      <c r="AD100">
        <f>'OBJETIVOS COMERCIALES'!E9/12*8</f>
        <v>14666.666666666666</v>
      </c>
    </row>
    <row r="101" spans="28:31" ht="15" customHeight="1">
      <c r="AB101" t="s">
        <v>63</v>
      </c>
      <c r="AC101">
        <f>CURVAS!C18+CURVAS!D18+CURVAS!E18+CURVAS!F18+CURVAS!G18+CURVAS!H18+CURVAS!I18+CURVAS!J18+CURVAS!K18</f>
        <v>5233</v>
      </c>
      <c r="AD101">
        <f>'OBJETIVOS COMERCIALES'!E9/12*9</f>
        <v>16500</v>
      </c>
    </row>
    <row r="102" spans="28:31" ht="15" customHeight="1">
      <c r="AB102" t="s">
        <v>64</v>
      </c>
      <c r="AC102">
        <f>CURVAS!C18+CURVAS!D18+CURVAS!E18+CURVAS!F18+CURVAS!G18+CURVAS!H18+CURVAS!I18+CURVAS!J18+CURVAS!K18+CURVAS!L18</f>
        <v>5756</v>
      </c>
      <c r="AD102">
        <f>'OBJETIVOS COMERCIALES'!E9/12*10</f>
        <v>18333.333333333332</v>
      </c>
    </row>
    <row r="103" spans="28:31" ht="15" customHeight="1">
      <c r="AB103" t="s">
        <v>65</v>
      </c>
      <c r="AC103">
        <f>CURVAS!C18+CURVAS!D18+CURVAS!E18+CURVAS!F18+CURVAS!G18+CURVAS!H18+CURVAS!I18+CURVAS!J18+CURVAS!K18+CURVAS!L18+CURVAS!M18</f>
        <v>6048</v>
      </c>
      <c r="AD103">
        <f>'OBJETIVOS COMERCIALES'!E9/12*11</f>
        <v>20166.666666666664</v>
      </c>
    </row>
    <row r="104" spans="28:31" ht="15" customHeight="1">
      <c r="AB104" t="s">
        <v>66</v>
      </c>
      <c r="AC104">
        <f>CURVAS!C18+CURVAS!D18+CURVAS!E18+CURVAS!F18+CURVAS!G18+CURVAS!H18+CURVAS!I18+CURVAS!J18+CURVAS!K18+CURVAS!L18+CURVAS!M18+CURVAS!N18</f>
        <v>6048</v>
      </c>
      <c r="AD104">
        <f>'OBJETIVOS COMERCIALES'!E9/12*12</f>
        <v>22000</v>
      </c>
    </row>
    <row r="110" spans="28:31" ht="15" customHeight="1">
      <c r="AB110" s="58" t="s">
        <v>5</v>
      </c>
      <c r="AC110" s="58" t="s">
        <v>54</v>
      </c>
      <c r="AD110" s="58" t="s">
        <v>92</v>
      </c>
      <c r="AE110" s="58" t="s">
        <v>93</v>
      </c>
    </row>
    <row r="111" spans="28:31" ht="15" customHeight="1">
      <c r="AB111" t="s">
        <v>86</v>
      </c>
      <c r="AC111" s="60">
        <f>'OBJETIVOS COMERCIALES'!B4</f>
        <v>0</v>
      </c>
      <c r="AD111">
        <f>SUM(CURVAS!C4:N4)</f>
        <v>95</v>
      </c>
      <c r="AE111" s="59">
        <f>IFERROR(AD111/AC111,0)</f>
        <v>0</v>
      </c>
    </row>
    <row r="112" spans="28:31" ht="15" customHeight="1">
      <c r="AB112" t="s">
        <v>87</v>
      </c>
      <c r="AC112" s="60">
        <f>'OBJETIVOS COMERCIALES'!B5</f>
        <v>0</v>
      </c>
      <c r="AD112">
        <f>SUM(CURVAS!C5:N5)</f>
        <v>48</v>
      </c>
      <c r="AE112" s="59">
        <f>IFERROR(AD112/AC112,0)</f>
        <v>0</v>
      </c>
    </row>
    <row r="113" spans="28:31" ht="15" customHeight="1">
      <c r="AB113" t="s">
        <v>15</v>
      </c>
      <c r="AC113" s="60">
        <f>'OBJETIVOS COMERCIALES'!B6</f>
        <v>120</v>
      </c>
      <c r="AD113">
        <f>SUM(CURVAS!C6:N6)</f>
        <v>318</v>
      </c>
      <c r="AE113" s="59">
        <f>IFERROR(AD113/AC113,0)</f>
        <v>2.65</v>
      </c>
    </row>
    <row r="114" spans="28:31" ht="15" customHeight="1">
      <c r="AB114" t="s">
        <v>17</v>
      </c>
      <c r="AC114" s="60">
        <f>'OBJETIVOS COMERCIALES'!B7</f>
        <v>200</v>
      </c>
      <c r="AD114">
        <f>SUM(CURVAS!C7:N7)</f>
        <v>93</v>
      </c>
      <c r="AE114" s="59">
        <f>IFERROR(AD114/AC114,0)</f>
        <v>0.46500000000000002</v>
      </c>
    </row>
    <row r="115" spans="28:31" ht="15" customHeight="1">
      <c r="AB115" t="s">
        <v>19</v>
      </c>
      <c r="AC115" s="60">
        <f>'OBJETIVOS COMERCIALES'!B8</f>
        <v>0</v>
      </c>
      <c r="AD115">
        <f>SUM(CURVAS!C8:N8)</f>
        <v>0</v>
      </c>
      <c r="AE115" s="59">
        <f>IFERROR(AD115/AC115,0)</f>
        <v>0</v>
      </c>
    </row>
    <row r="120" spans="28:31" ht="15" customHeight="1">
      <c r="AB120" s="58" t="s">
        <v>5</v>
      </c>
      <c r="AC120" s="58" t="s">
        <v>83</v>
      </c>
      <c r="AD120" s="58" t="s">
        <v>84</v>
      </c>
      <c r="AE120" s="58" t="s">
        <v>93</v>
      </c>
    </row>
    <row r="121" spans="28:31" ht="15" customHeight="1">
      <c r="AB121" t="s">
        <v>86</v>
      </c>
      <c r="AC121" s="60">
        <f>'OBJETIVOS COMERCIALES'!E4</f>
        <v>0</v>
      </c>
      <c r="AD121">
        <f>SUM(CURVAS!C13:N13)</f>
        <v>815</v>
      </c>
      <c r="AE121" s="59">
        <f>IFERROR(AD121/AC121,0)</f>
        <v>0</v>
      </c>
    </row>
    <row r="122" spans="28:31" ht="15" customHeight="1">
      <c r="AB122" t="s">
        <v>87</v>
      </c>
      <c r="AC122" s="60">
        <f>'OBJETIVOS COMERCIALES'!E5</f>
        <v>0</v>
      </c>
      <c r="AD122">
        <f>SUM(CURVAS!C14:N14)</f>
        <v>493</v>
      </c>
      <c r="AE122" s="59">
        <f>IFERROR(AD122/AC122,0)</f>
        <v>0</v>
      </c>
    </row>
    <row r="123" spans="28:31" ht="15" customHeight="1">
      <c r="AB123" t="s">
        <v>15</v>
      </c>
      <c r="AC123" s="60">
        <f>'OBJETIVOS COMERCIALES'!E6</f>
        <v>12000</v>
      </c>
      <c r="AD123">
        <f>SUM(CURVAS!C15:N15)</f>
        <v>4370</v>
      </c>
      <c r="AE123" s="59">
        <f>IFERROR(AD123/AC123,0)</f>
        <v>0.36416666666666669</v>
      </c>
    </row>
    <row r="124" spans="28:31" ht="15" customHeight="1">
      <c r="AB124" t="s">
        <v>17</v>
      </c>
      <c r="AC124" s="60">
        <f>'OBJETIVOS COMERCIALES'!E7</f>
        <v>10000</v>
      </c>
      <c r="AD124">
        <f>SUM(CURVAS!C16:N16)</f>
        <v>370</v>
      </c>
      <c r="AE124" s="59">
        <f>IFERROR(AD124/AC124,0)</f>
        <v>3.6999999999999998E-2</v>
      </c>
    </row>
    <row r="125" spans="28:31" ht="15" customHeight="1">
      <c r="AB125" t="s">
        <v>19</v>
      </c>
      <c r="AC125" s="60">
        <f>'OBJETIVOS COMERCIALES'!E8</f>
        <v>0</v>
      </c>
      <c r="AD125">
        <f>SUM(CURVAS!C17:N17)</f>
        <v>0</v>
      </c>
      <c r="AE125" s="59">
        <f>IFERROR(AD125/AC125,0)</f>
        <v>0</v>
      </c>
    </row>
  </sheetData>
  <mergeCells count="16">
    <mergeCell ref="U4:X4"/>
    <mergeCell ref="A42:L42"/>
    <mergeCell ref="A50:L50"/>
    <mergeCell ref="A4:D4"/>
    <mergeCell ref="E4:H4"/>
    <mergeCell ref="I4:L4"/>
    <mergeCell ref="M4:P4"/>
    <mergeCell ref="Q4:T4"/>
    <mergeCell ref="A1:Z1"/>
    <mergeCell ref="A2:Z2"/>
    <mergeCell ref="A3:D3"/>
    <mergeCell ref="E3:H3"/>
    <mergeCell ref="I3:L3"/>
    <mergeCell ref="M3:P3"/>
    <mergeCell ref="Q3:T3"/>
    <mergeCell ref="U3:X3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RESUMEN ESTRATEGIA</vt:lpstr>
      <vt:lpstr>CALCULADORA DE CONVERSIÓN</vt:lpstr>
      <vt:lpstr>OBJETIVOS COMERCIALES</vt:lpstr>
      <vt:lpstr>PLAN DE PROSPECCIÓN</vt:lpstr>
      <vt:lpstr>CURVAS</vt:lpstr>
      <vt:lpstr>GRÁFICOS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K M</cp:lastModifiedBy>
  <cp:revision>4</cp:revision>
  <dcterms:created xsi:type="dcterms:W3CDTF">2026-04-25T22:08:09Z</dcterms:created>
  <dcterms:modified xsi:type="dcterms:W3CDTF">2026-05-14T04:25:57Z</dcterms:modified>
  <dc:language>en-US</dc:language>
</cp:coreProperties>
</file>